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codeName="ThisWorkbook" autoCompressPictures="0"/>
  <xr:revisionPtr revIDLastSave="0" documentId="13_ncr:1_{2A6A99E4-DE10-45A7-940F-F26D45BE05CE}" xr6:coauthVersionLast="36" xr6:coauthVersionMax="47" xr10:uidLastSave="{00000000-0000-0000-0000-000000000000}"/>
  <bookViews>
    <workbookView xWindow="0" yWindow="0" windowWidth="21600" windowHeight="9525" tabRatio="741" activeTab="11" xr2:uid="{00000000-000D-0000-FFFF-FFFF00000000}"/>
  </bookViews>
  <sheets>
    <sheet name="Jan" sheetId="1" r:id="rId1"/>
    <sheet name="Fev" sheetId="6" r:id="rId2"/>
    <sheet name="Mar" sheetId="17" r:id="rId3"/>
    <sheet name="Abr" sheetId="18" r:id="rId4"/>
    <sheet name="Mai" sheetId="19" r:id="rId5"/>
    <sheet name="Jun" sheetId="20" r:id="rId6"/>
    <sheet name="Jul" sheetId="21" r:id="rId7"/>
    <sheet name="Ago" sheetId="22" r:id="rId8"/>
    <sheet name="Set" sheetId="23" r:id="rId9"/>
    <sheet name="Out" sheetId="24" r:id="rId10"/>
    <sheet name="Nov" sheetId="25" r:id="rId11"/>
    <sheet name="Dez" sheetId="26" r:id="rId12"/>
  </sheets>
  <definedNames>
    <definedName name="AbrDom1">DATE(AnoCivil,4,1)-WEEKDAY(DATE(AnoCivil,4,1))</definedName>
    <definedName name="AgoDom1">DATE(AnoCivil,8,1)-WEEKDAY(DATE(AnoCivil,8,1))</definedName>
    <definedName name="AnoCivil">Jan!$B$1</definedName>
    <definedName name="DezDom1">DATE(AnoCivil,12,1)-WEEKDAY(DATE(AnoCivil,12,1))</definedName>
    <definedName name="DiasTarefa" localSheetId="3">Abr!$K$2:$K$31</definedName>
    <definedName name="DiasTarefa" localSheetId="7">Ago!$K$2:$K$31</definedName>
    <definedName name="DiasTarefa" localSheetId="11">Dez!$K$2:$K$31</definedName>
    <definedName name="DiasTarefa" localSheetId="1">Fev!$K$2:$K$31</definedName>
    <definedName name="DiasTarefa" localSheetId="6">Jul!$K$2:$K$31</definedName>
    <definedName name="DiasTarefa" localSheetId="5">Jun!$K$2:$K$31</definedName>
    <definedName name="DiasTarefa" localSheetId="4">Mai!$K$2:$K$31</definedName>
    <definedName name="DiasTarefa" localSheetId="2">Mar!$K$2:$K$31</definedName>
    <definedName name="DiasTarefa" localSheetId="10">Nov!$K$2:$K$31</definedName>
    <definedName name="DiasTarefa" localSheetId="9">Out!$K$2:$K$31</definedName>
    <definedName name="DiasTarefa" localSheetId="8">Set!$K$2:$K$31</definedName>
    <definedName name="DiasTarefa">Jan!$K$2:$K$31</definedName>
    <definedName name="FevDom1">DATE(AnoCivil,2,1)-WEEKDAY(DATE(AnoCivil,2,1))</definedName>
    <definedName name="JanDom1">DATE(AnoCivil,1,1)-WEEKDAY(DATE(AnoCivil,1,1))</definedName>
    <definedName name="JulDom1">DATE(AnoCivil,7,1)-WEEKDAY(DATE(AnoCivil,7,1))</definedName>
    <definedName name="JunDom1">DATE(AnoCivil,6,1)-WEEKDAY(DATE(AnoCivil,6,1))</definedName>
    <definedName name="MaiDom1">DATE(AnoCivil,5,1)-WEEKDAY(DATE(AnoCivil,5,1))</definedName>
    <definedName name="MarDom1">DATE(AnoCivil,3,1)-WEEKDAY(DATE(AnoCivil,3,1))</definedName>
    <definedName name="NovDom1">DATE(AnoCivil,11,1)-WEEKDAY(DATE(AnoCivil,11,1))</definedName>
    <definedName name="OutDom1">DATE(AnoCivil,10,1)-WEEKDAY(DATE(AnoCivil,10,1))</definedName>
    <definedName name="RegiãoTítulo2..I31.1">Jan!$A$11</definedName>
    <definedName name="RegiãoTítulo2..I31.10">Out!$A$11</definedName>
    <definedName name="RegiãoTítulo2..I31.11">Nov!$A$11</definedName>
    <definedName name="RegiãoTítulo2..I31.12">Dez!$A$11</definedName>
    <definedName name="RegiãoTítulo2..I31.2">Fev!$A$11</definedName>
    <definedName name="RegiãoTítulo2..I31.3">Mar!$A$11</definedName>
    <definedName name="RegiãoTítulo2..I31.4">Abr!$A$11</definedName>
    <definedName name="RegiãoTítulo2..I31.5">Mai!$A$11</definedName>
    <definedName name="RegiãoTítulo2..I31.6">Jun!$A$11</definedName>
    <definedName name="RegiãoTítulo2..I31.7">Jul!$A$11</definedName>
    <definedName name="RegiãoTítulo2..I31.8">Ago!$A$11</definedName>
    <definedName name="RegiãoTítulo2..I31.9">Set!$A$11</definedName>
    <definedName name="RegiãoTìtuloColuna1..I8.1">Jan!$C$2</definedName>
    <definedName name="RegiãoTìtuloColuna1..I8.10">Out!$C$2</definedName>
    <definedName name="RegiãoTìtuloColuna1..I8.11">Nov!$C$2</definedName>
    <definedName name="RegiãoTìtuloColuna1..I8.12">Dez!$C$2</definedName>
    <definedName name="RegiãoTìtuloColuna1..I8.2">Fev!$C$2</definedName>
    <definedName name="RegiãoTìtuloColuna1..I8.3">Mar!$C$2</definedName>
    <definedName name="RegiãoTìtuloColuna1..I8.4">Abr!$C$2</definedName>
    <definedName name="RegiãoTìtuloColuna1..I8.5">Mai!$C$2</definedName>
    <definedName name="RegiãoTìtuloColuna1..I8.6">Jun!$C$2</definedName>
    <definedName name="RegiãoTìtuloColuna1..I8.7">Jul!$C$2</definedName>
    <definedName name="RegiãoTìtuloColuna1..I8.8">Ago!$C$2</definedName>
    <definedName name="RegiãoTìtuloColuna1..I8.9">Set!$C$2</definedName>
    <definedName name="SetDom1">DATE(AnoCivil,9,1)-WEEKDAY(DATE(AnoCivil,9,1))</definedName>
    <definedName name="TabelaDatasImportantes" localSheetId="3">Abr!$K$2:$L$6</definedName>
    <definedName name="TabelaDatasImportantes" localSheetId="7">Ago!$K$2:$L$6</definedName>
    <definedName name="TabelaDatasImportantes" localSheetId="11">Dez!$K$2:$L$6</definedName>
    <definedName name="TabelaDatasImportantes" localSheetId="1">Fev!$K$2:$L$6</definedName>
    <definedName name="TabelaDatasImportantes" localSheetId="6">Jul!$K$2:$L$6</definedName>
    <definedName name="TabelaDatasImportantes" localSheetId="5">Jun!$K$2:$L$6</definedName>
    <definedName name="TabelaDatasImportantes" localSheetId="4">Mai!$K$2:$L$6</definedName>
    <definedName name="TabelaDatasImportantes" localSheetId="2">Mar!$K$2:$L$6</definedName>
    <definedName name="TabelaDatasImportantes" localSheetId="10">Nov!$K$2:$L$6</definedName>
    <definedName name="TabelaDatasImportantes" localSheetId="9">Out!$K$2:$L$6</definedName>
    <definedName name="TabelaDatasImportantes" localSheetId="8">Set!$K$2:$L$6</definedName>
    <definedName name="TabelaDatasImportantes">Jan!$K$2:$L$6</definedName>
    <definedName name="TítuloColuna1">Tarefas_de_janeiro[[#Headers],[Dia da semana]]</definedName>
    <definedName name="TítuloColuna10">Tarefas_de_outubro[[#Headers],[Dia da semana]]</definedName>
    <definedName name="TítuloColuna11">Tarefas_de_novembro[[#Headers],[Dia da semana]]</definedName>
    <definedName name="TítuloColuna12">Tarefas_de_dezembro[[#Headers],[Dia da semana]]</definedName>
    <definedName name="TítuloColuna2">Tarefas_de_fevereiro[[#Headers],[Dia da semana]]</definedName>
    <definedName name="TítuloColuna9">Tarefas_de_setembro[[#Headers],[Dia da semana]]</definedName>
    <definedName name="Títulodacoluna3">Tarefas_de_março[[#Headers],[Dia da semana]]</definedName>
    <definedName name="Títulodacoluna4">Tarefas_de_abril[[#Headers],[Dia da semana]]</definedName>
    <definedName name="Títulodacoluna5">Tarefas_de_maio[[#Headers],[Dia da semana]]</definedName>
    <definedName name="Títulodacoluna6">Tarefas_de_junho[[#Headers],[Dia da semana]]</definedName>
    <definedName name="Títulodacoluna7">Tarefas_de_julho[[#Headers],[Dia da semana]]</definedName>
    <definedName name="Títulodacoluna8">Tarefas_de_agosto[[#Headers],[Dia da semana]]</definedName>
  </definedName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7" l="1"/>
  <c r="I5" i="6" l="1"/>
  <c r="I5" i="26"/>
  <c r="I5" i="25"/>
  <c r="I5" i="24"/>
  <c r="I5" i="23"/>
  <c r="I5" i="22"/>
  <c r="I5" i="21"/>
  <c r="I5" i="20"/>
  <c r="I5" i="19"/>
  <c r="I5" i="18"/>
  <c r="I5" i="17"/>
  <c r="I8" i="26"/>
  <c r="E8" i="26"/>
  <c r="H7" i="26"/>
  <c r="D7" i="26"/>
  <c r="G6" i="26"/>
  <c r="C6" i="26"/>
  <c r="F5" i="26"/>
  <c r="I4" i="26"/>
  <c r="E4" i="26"/>
  <c r="H3" i="26"/>
  <c r="D3" i="26"/>
  <c r="E7" i="26"/>
  <c r="G5" i="26"/>
  <c r="F4" i="26"/>
  <c r="H8" i="26"/>
  <c r="D8" i="26"/>
  <c r="G7" i="26"/>
  <c r="C7" i="26"/>
  <c r="F6" i="26"/>
  <c r="E5" i="26"/>
  <c r="H4" i="26"/>
  <c r="D4" i="26"/>
  <c r="G3" i="26"/>
  <c r="C3" i="26"/>
  <c r="D6" i="26"/>
  <c r="E3" i="26"/>
  <c r="G8" i="26"/>
  <c r="C8" i="26"/>
  <c r="F7" i="26"/>
  <c r="I6" i="26"/>
  <c r="E6" i="26"/>
  <c r="H5" i="26"/>
  <c r="D5" i="26"/>
  <c r="G4" i="26"/>
  <c r="C4" i="26"/>
  <c r="F3" i="26"/>
  <c r="F8" i="26"/>
  <c r="I7" i="26"/>
  <c r="H6" i="26"/>
  <c r="C5" i="26"/>
  <c r="I3" i="26"/>
  <c r="B1" i="26"/>
  <c r="I8" i="25"/>
  <c r="E8" i="25"/>
  <c r="H7" i="25"/>
  <c r="D7" i="25"/>
  <c r="G6" i="25"/>
  <c r="C6" i="25"/>
  <c r="F5" i="25"/>
  <c r="I4" i="25"/>
  <c r="E4" i="25"/>
  <c r="H3" i="25"/>
  <c r="D3" i="25"/>
  <c r="I7" i="25"/>
  <c r="D6" i="25"/>
  <c r="C5" i="25"/>
  <c r="E3" i="25"/>
  <c r="H8" i="25"/>
  <c r="D8" i="25"/>
  <c r="G7" i="25"/>
  <c r="C7" i="25"/>
  <c r="F6" i="25"/>
  <c r="E5" i="25"/>
  <c r="H4" i="25"/>
  <c r="D4" i="25"/>
  <c r="G3" i="25"/>
  <c r="C3" i="25"/>
  <c r="H6" i="25"/>
  <c r="F4" i="25"/>
  <c r="G8" i="25"/>
  <c r="C8" i="25"/>
  <c r="F7" i="25"/>
  <c r="I6" i="25"/>
  <c r="E6" i="25"/>
  <c r="H5" i="25"/>
  <c r="D5" i="25"/>
  <c r="G4" i="25"/>
  <c r="C4" i="25"/>
  <c r="F3" i="25"/>
  <c r="F8" i="25"/>
  <c r="E7" i="25"/>
  <c r="G5" i="25"/>
  <c r="I3" i="25"/>
  <c r="B1" i="25"/>
  <c r="I8" i="24"/>
  <c r="E8" i="24"/>
  <c r="H7" i="24"/>
  <c r="D7" i="24"/>
  <c r="G6" i="24"/>
  <c r="C6" i="24"/>
  <c r="F5" i="24"/>
  <c r="I4" i="24"/>
  <c r="E4" i="24"/>
  <c r="H3" i="24"/>
  <c r="D3" i="24"/>
  <c r="C8" i="24"/>
  <c r="I6" i="24"/>
  <c r="H5" i="24"/>
  <c r="G4" i="24"/>
  <c r="F3" i="24"/>
  <c r="I7" i="24"/>
  <c r="H6" i="24"/>
  <c r="G5" i="24"/>
  <c r="F4" i="24"/>
  <c r="E3" i="24"/>
  <c r="H8" i="24"/>
  <c r="D8" i="24"/>
  <c r="G7" i="24"/>
  <c r="C7" i="24"/>
  <c r="F6" i="24"/>
  <c r="E5" i="24"/>
  <c r="H4" i="24"/>
  <c r="D4" i="24"/>
  <c r="G3" i="24"/>
  <c r="C3" i="24"/>
  <c r="G8" i="24"/>
  <c r="F7" i="24"/>
  <c r="E6" i="24"/>
  <c r="D5" i="24"/>
  <c r="C4" i="24"/>
  <c r="F8" i="24"/>
  <c r="E7" i="24"/>
  <c r="D6" i="24"/>
  <c r="C5" i="24"/>
  <c r="I3" i="24"/>
  <c r="B1" i="24"/>
  <c r="I8" i="23"/>
  <c r="E8" i="23"/>
  <c r="H7" i="23"/>
  <c r="D7" i="23"/>
  <c r="G6" i="23"/>
  <c r="C6" i="23"/>
  <c r="F5" i="23"/>
  <c r="I4" i="23"/>
  <c r="E4" i="23"/>
  <c r="H3" i="23"/>
  <c r="D3" i="23"/>
  <c r="I7" i="23"/>
  <c r="G5" i="23"/>
  <c r="E3" i="23"/>
  <c r="H8" i="23"/>
  <c r="D8" i="23"/>
  <c r="G7" i="23"/>
  <c r="C7" i="23"/>
  <c r="F6" i="23"/>
  <c r="E5" i="23"/>
  <c r="H4" i="23"/>
  <c r="D4" i="23"/>
  <c r="G3" i="23"/>
  <c r="C3" i="23"/>
  <c r="E7" i="23"/>
  <c r="C5" i="23"/>
  <c r="I3" i="23"/>
  <c r="G8" i="23"/>
  <c r="C8" i="23"/>
  <c r="F7" i="23"/>
  <c r="I6" i="23"/>
  <c r="E6" i="23"/>
  <c r="H5" i="23"/>
  <c r="D5" i="23"/>
  <c r="G4" i="23"/>
  <c r="C4" i="23"/>
  <c r="F3" i="23"/>
  <c r="F8" i="23"/>
  <c r="H6" i="23"/>
  <c r="D6" i="23"/>
  <c r="F4" i="23"/>
  <c r="B1" i="23"/>
  <c r="I8" i="22"/>
  <c r="E8" i="22"/>
  <c r="H7" i="22"/>
  <c r="D7" i="22"/>
  <c r="G6" i="22"/>
  <c r="C6" i="22"/>
  <c r="F5" i="22"/>
  <c r="I4" i="22"/>
  <c r="E4" i="22"/>
  <c r="H3" i="22"/>
  <c r="D3" i="22"/>
  <c r="H8" i="22"/>
  <c r="D8" i="22"/>
  <c r="G7" i="22"/>
  <c r="C7" i="22"/>
  <c r="F6" i="22"/>
  <c r="E5" i="22"/>
  <c r="H4" i="22"/>
  <c r="D4" i="22"/>
  <c r="G3" i="22"/>
  <c r="C3" i="22"/>
  <c r="G8" i="22"/>
  <c r="C8" i="22"/>
  <c r="F7" i="22"/>
  <c r="I6" i="22"/>
  <c r="E6" i="22"/>
  <c r="H5" i="22"/>
  <c r="D5" i="22"/>
  <c r="G4" i="22"/>
  <c r="C4" i="22"/>
  <c r="F3" i="22"/>
  <c r="F8" i="22"/>
  <c r="I7" i="22"/>
  <c r="E7" i="22"/>
  <c r="H6" i="22"/>
  <c r="D6" i="22"/>
  <c r="G5" i="22"/>
  <c r="C5" i="22"/>
  <c r="F4" i="22"/>
  <c r="I3" i="22"/>
  <c r="E3" i="22"/>
  <c r="B1" i="22"/>
  <c r="I8" i="21"/>
  <c r="E8" i="21"/>
  <c r="H7" i="21"/>
  <c r="D7" i="21"/>
  <c r="G6" i="21"/>
  <c r="C6" i="21"/>
  <c r="F5" i="21"/>
  <c r="I4" i="21"/>
  <c r="E4" i="21"/>
  <c r="H3" i="21"/>
  <c r="D3" i="21"/>
  <c r="C8" i="21"/>
  <c r="I6" i="21"/>
  <c r="H5" i="21"/>
  <c r="G4" i="21"/>
  <c r="F3" i="21"/>
  <c r="H8" i="21"/>
  <c r="D8" i="21"/>
  <c r="G7" i="21"/>
  <c r="C7" i="21"/>
  <c r="F6" i="21"/>
  <c r="E5" i="21"/>
  <c r="H4" i="21"/>
  <c r="D4" i="21"/>
  <c r="G3" i="21"/>
  <c r="C3" i="21"/>
  <c r="F7" i="21"/>
  <c r="E6" i="21"/>
  <c r="D5" i="21"/>
  <c r="C4" i="21"/>
  <c r="G8" i="21"/>
  <c r="F8" i="21"/>
  <c r="I7" i="21"/>
  <c r="E7" i="21"/>
  <c r="H6" i="21"/>
  <c r="D6" i="21"/>
  <c r="G5" i="21"/>
  <c r="C5" i="21"/>
  <c r="F4" i="21"/>
  <c r="I3" i="21"/>
  <c r="E3" i="21"/>
  <c r="B1" i="21"/>
  <c r="I8" i="20"/>
  <c r="E8" i="20"/>
  <c r="H7" i="20"/>
  <c r="D7" i="20"/>
  <c r="G6" i="20"/>
  <c r="C6" i="20"/>
  <c r="F5" i="20"/>
  <c r="I4" i="20"/>
  <c r="E4" i="20"/>
  <c r="H3" i="20"/>
  <c r="D3" i="20"/>
  <c r="E7" i="20"/>
  <c r="D6" i="20"/>
  <c r="F4" i="20"/>
  <c r="H8" i="20"/>
  <c r="D8" i="20"/>
  <c r="G7" i="20"/>
  <c r="C7" i="20"/>
  <c r="F6" i="20"/>
  <c r="E5" i="20"/>
  <c r="H4" i="20"/>
  <c r="D4" i="20"/>
  <c r="G3" i="20"/>
  <c r="C3" i="20"/>
  <c r="I7" i="20"/>
  <c r="G5" i="20"/>
  <c r="I3" i="20"/>
  <c r="G8" i="20"/>
  <c r="C8" i="20"/>
  <c r="F7" i="20"/>
  <c r="I6" i="20"/>
  <c r="E6" i="20"/>
  <c r="H5" i="20"/>
  <c r="D5" i="20"/>
  <c r="G4" i="20"/>
  <c r="C4" i="20"/>
  <c r="F3" i="20"/>
  <c r="F8" i="20"/>
  <c r="H6" i="20"/>
  <c r="C5" i="20"/>
  <c r="E3" i="20"/>
  <c r="B1" i="20"/>
  <c r="I8" i="19"/>
  <c r="E8" i="19"/>
  <c r="H7" i="19"/>
  <c r="D7" i="19"/>
  <c r="G6" i="19"/>
  <c r="C6" i="19"/>
  <c r="F5" i="19"/>
  <c r="I4" i="19"/>
  <c r="E4" i="19"/>
  <c r="H3" i="19"/>
  <c r="D3" i="19"/>
  <c r="F4" i="19"/>
  <c r="E3" i="19"/>
  <c r="H8" i="19"/>
  <c r="D8" i="19"/>
  <c r="G7" i="19"/>
  <c r="C7" i="19"/>
  <c r="F6" i="19"/>
  <c r="E5" i="19"/>
  <c r="H4" i="19"/>
  <c r="D4" i="19"/>
  <c r="G3" i="19"/>
  <c r="C3" i="19"/>
  <c r="C5" i="19"/>
  <c r="G8" i="19"/>
  <c r="C8" i="19"/>
  <c r="F7" i="19"/>
  <c r="I6" i="19"/>
  <c r="E6" i="19"/>
  <c r="H5" i="19"/>
  <c r="D5" i="19"/>
  <c r="G4" i="19"/>
  <c r="C4" i="19"/>
  <c r="F3" i="19"/>
  <c r="F8" i="19"/>
  <c r="I7" i="19"/>
  <c r="E7" i="19"/>
  <c r="H6" i="19"/>
  <c r="D6" i="19"/>
  <c r="G5" i="19"/>
  <c r="I3" i="19"/>
  <c r="B1" i="19"/>
  <c r="I8" i="18"/>
  <c r="E8" i="18"/>
  <c r="H7" i="18"/>
  <c r="D7" i="18"/>
  <c r="G6" i="18"/>
  <c r="C6" i="18"/>
  <c r="F5" i="18"/>
  <c r="I4" i="18"/>
  <c r="E4" i="18"/>
  <c r="H3" i="18"/>
  <c r="D3" i="18"/>
  <c r="I7" i="18"/>
  <c r="D6" i="18"/>
  <c r="F4" i="18"/>
  <c r="H8" i="18"/>
  <c r="D8" i="18"/>
  <c r="G7" i="18"/>
  <c r="C7" i="18"/>
  <c r="F6" i="18"/>
  <c r="E5" i="18"/>
  <c r="H4" i="18"/>
  <c r="D4" i="18"/>
  <c r="G3" i="18"/>
  <c r="C3" i="18"/>
  <c r="H6" i="18"/>
  <c r="C5" i="18"/>
  <c r="E3" i="18"/>
  <c r="G8" i="18"/>
  <c r="C8" i="18"/>
  <c r="F7" i="18"/>
  <c r="I6" i="18"/>
  <c r="E6" i="18"/>
  <c r="H5" i="18"/>
  <c r="D5" i="18"/>
  <c r="G4" i="18"/>
  <c r="C4" i="18"/>
  <c r="F3" i="18"/>
  <c r="F8" i="18"/>
  <c r="E7" i="18"/>
  <c r="G5" i="18"/>
  <c r="I3" i="18"/>
  <c r="B1" i="18"/>
  <c r="I8" i="17"/>
  <c r="E8" i="17"/>
  <c r="D7" i="17"/>
  <c r="G6" i="17"/>
  <c r="C6" i="17"/>
  <c r="F5" i="17"/>
  <c r="I4" i="17"/>
  <c r="E4" i="17"/>
  <c r="H3" i="17"/>
  <c r="D3" i="17"/>
  <c r="H8" i="17"/>
  <c r="D8" i="17"/>
  <c r="G7" i="17"/>
  <c r="C7" i="17"/>
  <c r="F6" i="17"/>
  <c r="E5" i="17"/>
  <c r="H4" i="17"/>
  <c r="D4" i="17"/>
  <c r="G3" i="17"/>
  <c r="C3" i="17"/>
  <c r="G8" i="17"/>
  <c r="C8" i="17"/>
  <c r="F7" i="17"/>
  <c r="I6" i="17"/>
  <c r="E6" i="17"/>
  <c r="H5" i="17"/>
  <c r="D5" i="17"/>
  <c r="G4" i="17"/>
  <c r="C4" i="17"/>
  <c r="F3" i="17"/>
  <c r="F8" i="17"/>
  <c r="I7" i="17"/>
  <c r="E7" i="17"/>
  <c r="H6" i="17"/>
  <c r="D6" i="17"/>
  <c r="G5" i="17"/>
  <c r="C5" i="17"/>
  <c r="F4" i="17"/>
  <c r="I3" i="17"/>
  <c r="E3" i="17"/>
  <c r="B1" i="17"/>
  <c r="B1" i="6" l="1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H5" i="6"/>
  <c r="G5" i="6"/>
  <c r="F5" i="6"/>
  <c r="E5" i="6"/>
  <c r="D5" i="6"/>
  <c r="C5" i="6"/>
  <c r="I4" i="6"/>
  <c r="H4" i="6"/>
  <c r="G4" i="6"/>
  <c r="F4" i="6"/>
  <c r="E4" i="6"/>
  <c r="D4" i="6"/>
  <c r="C4" i="6"/>
  <c r="I3" i="6"/>
  <c r="H3" i="6"/>
  <c r="G3" i="6"/>
  <c r="F3" i="6"/>
  <c r="E3" i="6"/>
  <c r="D3" i="6"/>
  <c r="C3" i="6"/>
  <c r="H3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H4" i="1"/>
  <c r="G4" i="1"/>
  <c r="F4" i="1"/>
  <c r="E4" i="1"/>
  <c r="D4" i="1"/>
  <c r="C4" i="1"/>
  <c r="I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<sst xmlns="http://schemas.openxmlformats.org/spreadsheetml/2006/main" count="292" uniqueCount="37">
  <si>
    <t>JAN</t>
  </si>
  <si>
    <t>AGENDA SEMANAL</t>
  </si>
  <si>
    <t>SEG</t>
  </si>
  <si>
    <t>8:00</t>
  </si>
  <si>
    <t>Francês</t>
  </si>
  <si>
    <t>10:00</t>
  </si>
  <si>
    <t>Matemática</t>
  </si>
  <si>
    <t>2:00</t>
  </si>
  <si>
    <t>Inglês</t>
  </si>
  <si>
    <t>Insira o ano civil na célula B1 à esquerda.</t>
  </si>
  <si>
    <t>DOM</t>
  </si>
  <si>
    <t>TERÇA</t>
  </si>
  <si>
    <t>9:00</t>
  </si>
  <si>
    <t>História da Arte</t>
  </si>
  <si>
    <t>4:00</t>
  </si>
  <si>
    <t>Programação</t>
  </si>
  <si>
    <t>TER</t>
  </si>
  <si>
    <t>QUA</t>
  </si>
  <si>
    <t>QUI</t>
  </si>
  <si>
    <t>QUINTA</t>
  </si>
  <si>
    <t>SEX</t>
  </si>
  <si>
    <t>SÁB</t>
  </si>
  <si>
    <t>Dia da semana</t>
  </si>
  <si>
    <t>dia do calendário</t>
  </si>
  <si>
    <t>FEV</t>
  </si>
  <si>
    <t>MAR</t>
  </si>
  <si>
    <t>ABR</t>
  </si>
  <si>
    <t xml:space="preserve"> </t>
  </si>
  <si>
    <t>JUL</t>
  </si>
  <si>
    <t>AGO</t>
  </si>
  <si>
    <t>SET</t>
  </si>
  <si>
    <t>NOV</t>
  </si>
  <si>
    <t>DEZ</t>
  </si>
  <si>
    <t>OUT</t>
  </si>
  <si>
    <t>JUN</t>
  </si>
  <si>
    <t>MAI</t>
  </si>
  <si>
    <t>AÇÕES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</si>
</sst>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d"/>
    <numFmt numFmtId="167" formatCode="[$-409]mmmmm;@"/>
    <numFmt numFmtId="168" formatCode="d/m/yy\ h:mm;@"/>
    <numFmt numFmtId="169" formatCode="mmmm\,\ yyyy;@"/>
    <numFmt numFmtId="170" formatCode="h:mm"/>
  </numFmts>
  <fonts count="29">
    <font>
      <sz val="11"/>
      <color theme="1"/>
      <name val="Arial"/>
      <family val="2"/>
      <scheme val="minor"/>
    </font>
    <font>
      <sz val="11"/>
      <color theme="1"/>
      <name val="Arial"/>
      <family val="2"/>
      <charset val="134"/>
      <scheme val="minor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1"/>
      <color theme="0"/>
      <name val="Arial"/>
      <family val="2"/>
      <scheme val="minor"/>
    </font>
    <font>
      <b/>
      <sz val="24"/>
      <color theme="4" tint="-0.499984740745262"/>
      <name val="Arial"/>
      <family val="2"/>
      <scheme val="minor"/>
    </font>
    <font>
      <b/>
      <sz val="17"/>
      <color theme="4" tint="-0.499984740745262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  <scheme val="major"/>
    </font>
    <font>
      <b/>
      <sz val="18"/>
      <color theme="4" tint="-0.499984740745262"/>
      <name val="Arial"/>
      <family val="2"/>
      <scheme val="major"/>
    </font>
    <font>
      <sz val="11"/>
      <name val="Arial"/>
      <family val="2"/>
      <scheme val="minor"/>
    </font>
    <font>
      <sz val="11"/>
      <color rgb="FF006100"/>
      <name val="Arial"/>
      <family val="2"/>
      <charset val="134"/>
      <scheme val="minor"/>
    </font>
    <font>
      <sz val="11"/>
      <color rgb="FF9C0006"/>
      <name val="Arial"/>
      <family val="2"/>
      <charset val="134"/>
      <scheme val="minor"/>
    </font>
    <font>
      <sz val="11"/>
      <color rgb="FF9C5700"/>
      <name val="Arial"/>
      <family val="2"/>
      <charset val="134"/>
      <scheme val="minor"/>
    </font>
    <font>
      <sz val="11"/>
      <color rgb="FF3F3F76"/>
      <name val="Arial"/>
      <family val="2"/>
      <charset val="134"/>
      <scheme val="minor"/>
    </font>
    <font>
      <b/>
      <sz val="11"/>
      <color rgb="FF3F3F3F"/>
      <name val="Arial"/>
      <family val="2"/>
      <charset val="134"/>
      <scheme val="minor"/>
    </font>
    <font>
      <b/>
      <sz val="11"/>
      <color rgb="FFFA7D00"/>
      <name val="Arial"/>
      <family val="2"/>
      <charset val="134"/>
      <scheme val="minor"/>
    </font>
    <font>
      <sz val="11"/>
      <color rgb="FFFA7D00"/>
      <name val="Arial"/>
      <family val="2"/>
      <charset val="134"/>
      <scheme val="minor"/>
    </font>
    <font>
      <b/>
      <sz val="11"/>
      <color theme="0"/>
      <name val="Arial"/>
      <family val="2"/>
      <charset val="134"/>
      <scheme val="minor"/>
    </font>
    <font>
      <sz val="11"/>
      <color rgb="FFFF0000"/>
      <name val="Arial"/>
      <family val="2"/>
      <charset val="134"/>
      <scheme val="minor"/>
    </font>
    <font>
      <i/>
      <sz val="11"/>
      <color rgb="FF7F7F7F"/>
      <name val="Arial"/>
      <family val="2"/>
      <charset val="134"/>
      <scheme val="minor"/>
    </font>
    <font>
      <b/>
      <sz val="11"/>
      <color theme="1"/>
      <name val="Arial"/>
      <family val="2"/>
      <charset val="134"/>
      <scheme val="minor"/>
    </font>
    <font>
      <sz val="11"/>
      <color theme="0"/>
      <name val="Arial"/>
      <family val="2"/>
      <charset val="134"/>
      <scheme val="minor"/>
    </font>
    <font>
      <b/>
      <sz val="24"/>
      <color theme="4" tint="-0.499984740745262"/>
      <name val="Arial"/>
      <family val="2"/>
      <scheme val="major"/>
    </font>
    <font>
      <b/>
      <sz val="12"/>
      <color theme="1" tint="0.249977111117893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>
      <alignment wrapText="1"/>
    </xf>
    <xf numFmtId="0" fontId="13" fillId="0" borderId="0" applyFill="0" applyBorder="0" applyProtection="0">
      <alignment horizontal="center" vertical="center"/>
    </xf>
    <xf numFmtId="167" fontId="7" fillId="0" borderId="0" applyFill="0" applyBorder="0" applyProtection="0">
      <alignment horizontal="center" vertical="center"/>
    </xf>
    <xf numFmtId="0" fontId="8" fillId="0" borderId="0" applyFill="0" applyProtection="0">
      <alignment horizontal="left" vertical="center" indent="2"/>
    </xf>
    <xf numFmtId="0" fontId="9" fillId="0" borderId="0" applyNumberFormat="0" applyFill="0" applyBorder="0" applyProtection="0">
      <alignment horizontal="left" vertical="center"/>
    </xf>
    <xf numFmtId="0" fontId="9" fillId="0" borderId="0" applyFill="0" applyBorder="0" applyProtection="0"/>
    <xf numFmtId="165" fontId="2" fillId="0" borderId="0" applyFill="0" applyBorder="0" applyAlignment="0" applyProtection="0"/>
    <xf numFmtId="164" fontId="2" fillId="0" borderId="0" applyFill="0" applyBorder="0" applyAlignment="0" applyProtection="0"/>
    <xf numFmtId="44" fontId="2" fillId="0" borderId="0" applyFill="0" applyBorder="0" applyAlignment="0" applyProtection="0"/>
    <xf numFmtId="42" fontId="2" fillId="0" borderId="0" applyFill="0" applyBorder="0" applyAlignment="0" applyProtection="0"/>
    <xf numFmtId="9" fontId="2" fillId="0" borderId="0" applyFill="0" applyBorder="0" applyAlignment="0" applyProtection="0"/>
    <xf numFmtId="0" fontId="2" fillId="3" borderId="5" applyNumberFormat="0" applyAlignment="0" applyProtection="0"/>
    <xf numFmtId="0" fontId="6" fillId="4" borderId="1">
      <alignment horizontal="left" indent="1"/>
    </xf>
    <xf numFmtId="0" fontId="10" fillId="0" borderId="0">
      <alignment vertical="center"/>
    </xf>
    <xf numFmtId="0" fontId="10" fillId="0" borderId="6" applyNumberFormat="0" applyFont="0" applyFill="0" applyAlignment="0" applyProtection="0">
      <alignment horizontal="left" vertical="center" indent="2"/>
    </xf>
    <xf numFmtId="1" fontId="11" fillId="0" borderId="0" applyFill="0" applyBorder="0">
      <alignment horizontal="center"/>
    </xf>
    <xf numFmtId="0" fontId="14" fillId="0" borderId="7" applyNumberFormat="0" applyFont="0" applyFill="0" applyAlignment="0" applyProtection="0">
      <alignment horizontal="center"/>
    </xf>
    <xf numFmtId="0" fontId="14" fillId="0" borderId="9" applyNumberFormat="0" applyFont="0" applyFill="0" applyAlignment="0" applyProtection="0"/>
    <xf numFmtId="166" fontId="5" fillId="0" borderId="0" applyFill="0" applyBorder="0">
      <alignment horizontal="left" vertical="center" indent="1"/>
    </xf>
    <xf numFmtId="0" fontId="14" fillId="2" borderId="0" applyFont="0" applyBorder="0">
      <alignment horizontal="left" vertical="top" indent="1"/>
    </xf>
    <xf numFmtId="0" fontId="6" fillId="0" borderId="0" applyNumberFormat="0" applyFill="0" applyBorder="0" applyAlignment="0">
      <alignment wrapText="1"/>
    </xf>
    <xf numFmtId="170" fontId="14" fillId="2" borderId="0" applyFill="0" applyBorder="0">
      <alignment horizontal="left" indent="1"/>
    </xf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1" applyNumberFormat="0" applyAlignment="0" applyProtection="0"/>
    <xf numFmtId="0" fontId="19" fillId="9" borderId="12" applyNumberFormat="0" applyAlignment="0" applyProtection="0"/>
    <xf numFmtId="0" fontId="20" fillId="9" borderId="11" applyNumberFormat="0" applyAlignment="0" applyProtection="0"/>
    <xf numFmtId="0" fontId="21" fillId="0" borderId="13" applyNumberFormat="0" applyFill="0" applyAlignment="0" applyProtection="0"/>
    <xf numFmtId="0" fontId="22" fillId="10" borderId="14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65">
    <xf numFmtId="0" fontId="0" fillId="0" borderId="0" xfId="0">
      <alignment wrapText="1"/>
    </xf>
    <xf numFmtId="0" fontId="9" fillId="0" borderId="7" xfId="16" applyFont="1" applyAlignment="1"/>
    <xf numFmtId="1" fontId="11" fillId="0" borderId="0" xfId="15">
      <alignment horizontal="center"/>
    </xf>
    <xf numFmtId="0" fontId="6" fillId="4" borderId="9" xfId="17" applyFont="1" applyFill="1" applyAlignment="1">
      <alignment horizontal="left" indent="1"/>
    </xf>
    <xf numFmtId="0" fontId="9" fillId="0" borderId="6" xfId="14" applyFont="1" applyAlignment="1">
      <alignment vertical="center"/>
    </xf>
    <xf numFmtId="0" fontId="10" fillId="0" borderId="0" xfId="13">
      <alignment vertical="center"/>
    </xf>
    <xf numFmtId="0" fontId="5" fillId="0" borderId="6" xfId="14" applyNumberFormat="1" applyFont="1" applyAlignment="1">
      <alignment horizontal="left" vertical="center" indent="1"/>
    </xf>
    <xf numFmtId="0" fontId="13" fillId="0" borderId="7" xfId="1" applyBorder="1">
      <alignment horizontal="center" vertical="center"/>
    </xf>
    <xf numFmtId="0" fontId="0" fillId="0" borderId="0" xfId="14" applyFont="1" applyBorder="1" applyAlignment="1">
      <alignment wrapText="1"/>
    </xf>
    <xf numFmtId="0" fontId="9" fillId="0" borderId="0" xfId="5"/>
    <xf numFmtId="0" fontId="8" fillId="0" borderId="0" xfId="3">
      <alignment horizontal="left" vertical="center" indent="2"/>
    </xf>
    <xf numFmtId="0" fontId="13" fillId="0" borderId="0" xfId="1">
      <alignment horizontal="center" vertical="center"/>
    </xf>
    <xf numFmtId="0" fontId="0" fillId="0" borderId="9" xfId="17" applyFont="1" applyAlignment="1">
      <alignment wrapText="1"/>
    </xf>
    <xf numFmtId="0" fontId="6" fillId="4" borderId="1" xfId="12">
      <alignment horizontal="left" indent="1"/>
    </xf>
    <xf numFmtId="0" fontId="0" fillId="0" borderId="0" xfId="0" applyAlignment="1">
      <alignment horizontal="left" wrapText="1"/>
    </xf>
    <xf numFmtId="0" fontId="9" fillId="0" borderId="0" xfId="5" applyFill="1"/>
    <xf numFmtId="0" fontId="9" fillId="0" borderId="0" xfId="4">
      <alignment horizontal="left" vertical="center"/>
    </xf>
    <xf numFmtId="0" fontId="0" fillId="0" borderId="7" xfId="16" applyFont="1" applyAlignment="1">
      <alignment wrapText="1"/>
    </xf>
    <xf numFmtId="0" fontId="0" fillId="0" borderId="7" xfId="16" applyFont="1" applyAlignment="1">
      <alignment horizontal="left" wrapText="1"/>
    </xf>
    <xf numFmtId="1" fontId="11" fillId="0" borderId="7" xfId="15" applyBorder="1">
      <alignment horizontal="center"/>
    </xf>
    <xf numFmtId="0" fontId="6" fillId="0" borderId="0" xfId="20">
      <alignment wrapText="1"/>
    </xf>
    <xf numFmtId="0" fontId="9" fillId="0" borderId="7" xfId="5" applyBorder="1"/>
    <xf numFmtId="1" fontId="11" fillId="0" borderId="6" xfId="15" applyBorder="1">
      <alignment horizontal="center"/>
    </xf>
    <xf numFmtId="1" fontId="11" fillId="0" borderId="7" xfId="16" applyNumberFormat="1" applyFont="1">
      <alignment horizontal="center"/>
    </xf>
    <xf numFmtId="0" fontId="4" fillId="0" borderId="7" xfId="16" applyFont="1" applyAlignment="1">
      <alignment horizontal="left" wrapText="1"/>
    </xf>
    <xf numFmtId="0" fontId="6" fillId="0" borderId="9" xfId="20" applyBorder="1" applyAlignment="1">
      <alignment wrapText="1"/>
    </xf>
    <xf numFmtId="0" fontId="0" fillId="2" borderId="0" xfId="19" applyFont="1">
      <alignment horizontal="left" vertical="top" indent="1"/>
    </xf>
    <xf numFmtId="0" fontId="2" fillId="2" borderId="9" xfId="19" applyFont="1" applyBorder="1">
      <alignment horizontal="left" vertical="top" indent="1"/>
    </xf>
    <xf numFmtId="0" fontId="12" fillId="2" borderId="9" xfId="19" applyFont="1" applyBorder="1">
      <alignment horizontal="left" vertical="top" indent="1"/>
    </xf>
    <xf numFmtId="0" fontId="0" fillId="2" borderId="7" xfId="19" applyFont="1" applyBorder="1">
      <alignment horizontal="left" vertical="top" indent="1"/>
    </xf>
    <xf numFmtId="0" fontId="2" fillId="2" borderId="7" xfId="19" applyFont="1" applyBorder="1">
      <alignment horizontal="left" vertical="top" indent="1"/>
    </xf>
    <xf numFmtId="0" fontId="2" fillId="2" borderId="0" xfId="19" applyFont="1">
      <alignment horizontal="left" vertical="top" indent="1"/>
    </xf>
    <xf numFmtId="0" fontId="12" fillId="2" borderId="0" xfId="19" applyFont="1">
      <alignment horizontal="left" vertical="top" indent="1"/>
    </xf>
    <xf numFmtId="0" fontId="14" fillId="2" borderId="7" xfId="19" applyBorder="1">
      <alignment horizontal="left" vertical="top" indent="1"/>
    </xf>
    <xf numFmtId="0" fontId="0" fillId="2" borderId="7" xfId="16" applyFont="1" applyFill="1" applyAlignment="1">
      <alignment horizontal="left" vertical="top" indent="1"/>
    </xf>
    <xf numFmtId="0" fontId="2" fillId="2" borderId="7" xfId="16" applyFont="1" applyFill="1" applyAlignment="1">
      <alignment horizontal="left" vertical="top" indent="1"/>
    </xf>
    <xf numFmtId="0" fontId="9" fillId="0" borderId="6" xfId="5" applyBorder="1"/>
    <xf numFmtId="168" fontId="7" fillId="0" borderId="0" xfId="2" applyNumberFormat="1">
      <alignment horizontal="center" vertical="center"/>
    </xf>
    <xf numFmtId="168" fontId="7" fillId="0" borderId="6" xfId="2" applyNumberFormat="1" applyBorder="1">
      <alignment horizontal="center" vertical="center"/>
    </xf>
    <xf numFmtId="168" fontId="7" fillId="0" borderId="6" xfId="14" applyNumberFormat="1" applyFont="1" applyAlignment="1">
      <alignment horizontal="center" vertical="center"/>
    </xf>
    <xf numFmtId="169" fontId="14" fillId="0" borderId="7" xfId="16" applyNumberFormat="1" applyFill="1" applyAlignment="1">
      <alignment horizontal="left" indent="1"/>
    </xf>
    <xf numFmtId="166" fontId="5" fillId="0" borderId="0" xfId="18" applyFill="1" applyBorder="1">
      <alignment horizontal="left" vertical="center" indent="1"/>
    </xf>
    <xf numFmtId="166" fontId="5" fillId="0" borderId="7" xfId="18" applyFill="1" applyBorder="1">
      <alignment horizontal="left" vertical="center" indent="1"/>
    </xf>
    <xf numFmtId="0" fontId="27" fillId="0" borderId="6" xfId="1" applyFont="1" applyBorder="1">
      <alignment horizontal="center" vertical="center"/>
    </xf>
    <xf numFmtId="170" fontId="14" fillId="2" borderId="0" xfId="21">
      <alignment horizontal="left" indent="1"/>
    </xf>
    <xf numFmtId="170" fontId="14" fillId="2" borderId="9" xfId="21" applyBorder="1">
      <alignment horizontal="left" indent="1"/>
    </xf>
    <xf numFmtId="170" fontId="14" fillId="2" borderId="3" xfId="21" applyBorder="1">
      <alignment horizontal="left" indent="1"/>
    </xf>
    <xf numFmtId="170" fontId="14" fillId="2" borderId="4" xfId="21" applyBorder="1">
      <alignment horizontal="left" indent="1"/>
    </xf>
    <xf numFmtId="1" fontId="11" fillId="0" borderId="16" xfId="15" applyBorder="1">
      <alignment horizontal="center"/>
    </xf>
    <xf numFmtId="1" fontId="11" fillId="0" borderId="16" xfId="16" applyNumberFormat="1" applyFont="1" applyBorder="1">
      <alignment horizontal="center"/>
    </xf>
    <xf numFmtId="166" fontId="28" fillId="0" borderId="0" xfId="18" applyFont="1" applyFill="1" applyBorder="1">
      <alignment horizontal="left" vertical="center" indent="1"/>
    </xf>
    <xf numFmtId="0" fontId="6" fillId="4" borderId="8" xfId="12" applyBorder="1">
      <alignment horizontal="left" indent="1"/>
    </xf>
    <xf numFmtId="0" fontId="6" fillId="4" borderId="2" xfId="12" applyBorder="1">
      <alignment horizontal="left" indent="1"/>
    </xf>
    <xf numFmtId="170" fontId="14" fillId="2" borderId="10" xfId="21" applyBorder="1">
      <alignment horizontal="left" indent="1"/>
    </xf>
    <xf numFmtId="0" fontId="2" fillId="2" borderId="0" xfId="19" applyFont="1">
      <alignment horizontal="left" vertical="top" indent="1"/>
    </xf>
    <xf numFmtId="0" fontId="2" fillId="2" borderId="7" xfId="19" applyFont="1" applyBorder="1">
      <alignment horizontal="left" vertical="top" indent="1"/>
    </xf>
    <xf numFmtId="170" fontId="14" fillId="2" borderId="0" xfId="21">
      <alignment horizontal="left" indent="1"/>
    </xf>
    <xf numFmtId="0" fontId="14" fillId="2" borderId="7" xfId="19" applyBorder="1">
      <alignment horizontal="left" vertical="top" indent="1"/>
    </xf>
    <xf numFmtId="0" fontId="0" fillId="2" borderId="0" xfId="19" applyFont="1">
      <alignment horizontal="left" vertical="top" indent="1"/>
    </xf>
    <xf numFmtId="0" fontId="2" fillId="2" borderId="7" xfId="16" applyFont="1" applyFill="1" applyAlignment="1">
      <alignment horizontal="left" vertical="top" indent="1"/>
    </xf>
    <xf numFmtId="166" fontId="5" fillId="0" borderId="0" xfId="18" applyFont="1" applyFill="1" applyBorder="1">
      <alignment horizontal="left" vertical="center" indent="1"/>
    </xf>
    <xf numFmtId="169" fontId="14" fillId="0" borderId="16" xfId="16" applyNumberFormat="1" applyFill="1" applyBorder="1" applyAlignment="1">
      <alignment horizontal="left" indent="1"/>
    </xf>
    <xf numFmtId="0" fontId="11" fillId="0" borderId="16" xfId="14" applyFont="1" applyBorder="1" applyAlignment="1">
      <alignment horizontal="center"/>
    </xf>
    <xf numFmtId="0" fontId="0" fillId="0" borderId="16" xfId="0" applyBorder="1">
      <alignment wrapText="1"/>
    </xf>
    <xf numFmtId="0" fontId="14" fillId="0" borderId="16" xfId="16" applyBorder="1">
      <alignment horizontal="center"/>
    </xf>
  </cellXfs>
  <cellStyles count="57">
    <cellStyle name="20% - Ênfase1" xfId="34" builtinId="30" customBuiltin="1"/>
    <cellStyle name="20% - Ênfase2" xfId="38" builtinId="34" customBuiltin="1"/>
    <cellStyle name="20% - Ênfase3" xfId="42" builtinId="38" customBuiltin="1"/>
    <cellStyle name="20% - Ênfase4" xfId="46" builtinId="42" customBuiltin="1"/>
    <cellStyle name="20% - Ênfase5" xfId="50" builtinId="46" customBuiltin="1"/>
    <cellStyle name="20% - Ênfase6" xfId="54" builtinId="50" customBuiltin="1"/>
    <cellStyle name="40% - Ênfase1" xfId="35" builtinId="31" customBuiltin="1"/>
    <cellStyle name="40% - Ênfase2" xfId="39" builtinId="35" customBuiltin="1"/>
    <cellStyle name="40% - Ênfase3" xfId="43" builtinId="39" customBuiltin="1"/>
    <cellStyle name="40% - Ênfase4" xfId="47" builtinId="43" customBuiltin="1"/>
    <cellStyle name="40% - Ênfase5" xfId="51" builtinId="47" customBuiltin="1"/>
    <cellStyle name="40% - Ênfase6" xfId="55" builtinId="51" customBuiltin="1"/>
    <cellStyle name="60% - Ênfase1" xfId="36" builtinId="32" customBuiltin="1"/>
    <cellStyle name="60% - Ênfase2" xfId="40" builtinId="36" customBuiltin="1"/>
    <cellStyle name="60% - Ênfase3" xfId="44" builtinId="40" customBuiltin="1"/>
    <cellStyle name="60% - Ênfase4" xfId="48" builtinId="44" customBuiltin="1"/>
    <cellStyle name="60% - Ênfase5" xfId="52" builtinId="48" customBuiltin="1"/>
    <cellStyle name="60% - Ênfase6" xfId="56" builtinId="52" customBuiltin="1"/>
    <cellStyle name="Alinhamento do calendário" xfId="18" xr:uid="{00000000-0005-0000-0000-000001000000}"/>
    <cellStyle name="Bom" xfId="22" builtinId="26" customBuiltin="1"/>
    <cellStyle name="Borda direita" xfId="17" xr:uid="{00000000-0005-0000-0000-00000F000000}"/>
    <cellStyle name="Borda Inferior" xfId="16" xr:uid="{00000000-0005-0000-0000-000000000000}"/>
    <cellStyle name="Borda superior" xfId="14" xr:uid="{00000000-0005-0000-0000-000013000000}"/>
    <cellStyle name="Cálculo" xfId="27" builtinId="22" customBuiltin="1"/>
    <cellStyle name="Célula de Verificação" xfId="29" builtinId="23" customBuiltin="1"/>
    <cellStyle name="Célula Vinculada" xfId="28" builtinId="24" customBuiltin="1"/>
    <cellStyle name="Data" xfId="15" xr:uid="{00000000-0005-0000-0000-000006000000}"/>
    <cellStyle name="Dias da semana" xfId="12" xr:uid="{00000000-0005-0000-0000-000014000000}"/>
    <cellStyle name="Ênfase1" xfId="33" builtinId="29" customBuiltin="1"/>
    <cellStyle name="Ênfase2" xfId="37" builtinId="33" customBuiltin="1"/>
    <cellStyle name="Ênfase3" xfId="41" builtinId="37" customBuiltin="1"/>
    <cellStyle name="Ênfase4" xfId="45" builtinId="41" customBuiltin="1"/>
    <cellStyle name="Ênfase5" xfId="49" builtinId="45" customBuiltin="1"/>
    <cellStyle name="Ênfase6" xfId="53" builtinId="49" customBuiltin="1"/>
    <cellStyle name="Entrada" xfId="25" builtinId="20" customBuiltin="1"/>
    <cellStyle name="Hora" xfId="21" xr:uid="{00000000-0005-0000-0000-000011000000}"/>
    <cellStyle name="Moeda" xfId="8" builtinId="4" customBuiltin="1"/>
    <cellStyle name="Moeda [0]" xfId="9" builtinId="7" customBuiltin="1"/>
    <cellStyle name="Neutro" xfId="24" builtinId="28" customBuiltin="1"/>
    <cellStyle name="Normal" xfId="0" builtinId="0" customBuiltin="1"/>
    <cellStyle name="Nota" xfId="11" builtinId="10" customBuiltin="1"/>
    <cellStyle name="Porcentagem" xfId="10" builtinId="5" customBuiltin="1"/>
    <cellStyle name="Preenchimento da programação semanal" xfId="19" xr:uid="{00000000-0005-0000-0000-000015000000}"/>
    <cellStyle name="Rótulo" xfId="13" xr:uid="{00000000-0005-0000-0000-00000B000000}"/>
    <cellStyle name="Ruim" xfId="23" builtinId="27" customBuiltin="1"/>
    <cellStyle name="Saída" xfId="26" builtinId="21" customBuiltin="1"/>
    <cellStyle name="Separador de milhares [0]" xfId="7" builtinId="6" customBuiltin="1"/>
    <cellStyle name="Texto de Aviso" xfId="30" builtinId="11" customBuiltin="1"/>
    <cellStyle name="Texto Explicativo" xfId="31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da borda em branco" xfId="20" xr:uid="{00000000-0005-0000-0000-000010000000}"/>
    <cellStyle name="Total" xfId="32" builtinId="25" customBuiltin="1"/>
    <cellStyle name="Vírgula" xfId="6" builtinId="3" customBuiltin="1"/>
  </cellStyles>
  <dxfs count="9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border>
        <bottom style="thin">
          <color theme="0"/>
        </bottom>
        <vertical/>
        <horizontal/>
      </border>
    </dxf>
    <dxf>
      <fill>
        <patternFill>
          <bgColor theme="4" tint="0.79998168889431442"/>
        </patternFill>
      </fill>
    </dxf>
    <dxf>
      <border>
        <left style="thin">
          <color theme="0"/>
        </left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border>
        <bottom style="thin">
          <color theme="0"/>
        </bottom>
        <vertical/>
        <horizontal/>
      </border>
    </dxf>
    <dxf>
      <fill>
        <patternFill>
          <bgColor theme="4" tint="0.79998168889431442"/>
        </patternFill>
      </fill>
    </dxf>
    <dxf>
      <border>
        <left style="thin">
          <color theme="0"/>
        </left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border>
        <left style="thin">
          <color theme="0"/>
        </left>
        <vertical/>
        <horizontal/>
      </border>
    </dxf>
    <dxf>
      <border>
        <left style="thin">
          <color theme="0"/>
        </left>
        <bottom style="thin">
          <color theme="0"/>
        </bottom>
        <vertical/>
        <horizontal/>
      </border>
    </dxf>
    <dxf>
      <border>
        <bottom style="thin">
          <color theme="0"/>
        </bottom>
        <vertical/>
        <horizontal/>
      </border>
    </dxf>
    <dxf>
      <fill>
        <patternFill>
          <bgColor theme="4" tint="0.79998168889431442"/>
        </patternFill>
      </fill>
    </dxf>
    <dxf>
      <border>
        <left style="thin">
          <color theme="0"/>
        </left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border>
        <bottom style="thin">
          <color theme="0"/>
        </bottom>
        <vertical/>
        <horizontal/>
      </border>
    </dxf>
    <dxf>
      <fill>
        <patternFill>
          <bgColor theme="4" tint="0.79998168889431442"/>
        </patternFill>
      </fill>
    </dxf>
    <dxf>
      <border>
        <left style="thin">
          <color theme="0"/>
        </left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border>
        <bottom style="thin">
          <color theme="0"/>
        </bottom>
        <vertical/>
        <horizontal/>
      </border>
    </dxf>
    <dxf>
      <fill>
        <patternFill>
          <bgColor theme="4" tint="0.79998168889431442"/>
        </patternFill>
      </fill>
    </dxf>
    <dxf>
      <border>
        <left style="thin">
          <color theme="0"/>
        </left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border>
        <bottom style="thin">
          <color theme="0"/>
        </bottom>
        <vertical/>
        <horizontal/>
      </border>
    </dxf>
    <dxf>
      <fill>
        <patternFill>
          <bgColor theme="4" tint="0.79998168889431442"/>
        </patternFill>
      </fill>
    </dxf>
    <dxf>
      <border>
        <left style="thin">
          <color theme="0"/>
        </left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border>
        <bottom style="thin">
          <color theme="0"/>
        </bottom>
        <vertical/>
        <horizontal/>
      </border>
    </dxf>
    <dxf>
      <fill>
        <patternFill>
          <bgColor theme="4" tint="0.79998168889431442"/>
        </patternFill>
      </fill>
    </dxf>
    <dxf>
      <border>
        <left style="thin">
          <color theme="0"/>
        </left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border>
        <bottom style="thin">
          <color theme="0"/>
        </bottom>
        <vertical/>
        <horizontal/>
      </border>
    </dxf>
    <dxf>
      <fill>
        <patternFill>
          <bgColor theme="4" tint="0.79998168889431442"/>
        </patternFill>
      </fill>
    </dxf>
    <dxf>
      <border>
        <left style="thin">
          <color theme="0"/>
        </left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border>
        <bottom style="thin">
          <color theme="0"/>
        </bottom>
        <vertical/>
        <horizontal/>
      </border>
    </dxf>
    <dxf>
      <fill>
        <patternFill>
          <bgColor theme="4" tint="0.79998168889431442"/>
        </patternFill>
      </fill>
    </dxf>
    <dxf>
      <border>
        <left style="thin">
          <color theme="0"/>
        </left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border>
        <bottom style="thin">
          <color theme="0"/>
        </bottom>
        <vertical/>
        <horizontal/>
      </border>
    </dxf>
    <dxf>
      <fill>
        <patternFill>
          <bgColor theme="4" tint="0.79998168889431442"/>
        </patternFill>
      </fill>
    </dxf>
    <dxf>
      <border>
        <left style="thin">
          <color theme="0"/>
        </left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border>
        <bottom style="thin">
          <color theme="0"/>
        </bottom>
        <vertical/>
        <horizontal/>
      </border>
    </dxf>
    <dxf>
      <fill>
        <patternFill>
          <bgColor theme="4" tint="0.79998168889431442"/>
        </patternFill>
      </fill>
    </dxf>
    <dxf>
      <border>
        <left style="thin">
          <color theme="0"/>
        </left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border>
        <bottom style="thin">
          <color theme="0"/>
        </bottom>
        <vertical/>
        <horizontal/>
      </border>
    </dxf>
    <dxf>
      <font>
        <b val="0"/>
        <i val="0"/>
      </font>
      <fill>
        <patternFill>
          <bgColor theme="4" tint="0.79998168889431442"/>
        </patternFill>
      </fill>
      <border>
        <vertical/>
        <horizontal/>
      </border>
    </dxf>
    <dxf>
      <border>
        <left style="thin">
          <color theme="0"/>
        </left>
        <vertical/>
        <horizontal/>
      </border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 diagonalUp="0" diagonalDown="0">
        <left style="thin">
          <color theme="4" tint="-0.499984740745262"/>
        </left>
        <right/>
        <top/>
        <bottom style="thin">
          <color theme="4" tint="-0.499984740745262"/>
        </bottom>
        <vertical/>
        <horizontal/>
      </border>
    </dxf>
    <dxf>
      <font>
        <b/>
        <i val="0"/>
        <color theme="4" tint="-0.499984740745262"/>
      </font>
      <border diagonalUp="0" diagonalDown="0">
        <left/>
        <right/>
        <top/>
        <bottom style="thin">
          <color theme="4" tint="-0.499984740745262"/>
        </bottom>
        <vertical/>
        <horizontal/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horizontal style="thin">
          <color theme="5" tint="-0.499984740745262"/>
        </horizontal>
      </border>
    </dxf>
  </dxfs>
  <tableStyles count="1" defaultPivotStyle="PivotStyleLight16">
    <tableStyle name="Atribuições" pivot="0" count="3" xr9:uid="{00000000-0011-0000-FFFF-FFFF00000000}">
      <tableStyleElement type="wholeTable" dxfId="94"/>
      <tableStyleElement type="headerRow" dxfId="93"/>
      <tableStyleElement type="firstColumn" dxfId="9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refas_de_janeiro" displayName="Tarefas_de_janeiro" ref="J1:L31" totalsRowShown="0">
  <autoFilter ref="J1:L31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Dia da semana"/>
    <tableColumn id="2" xr3:uid="{00000000-0010-0000-0000-000002000000}" name="dia do calendário" dataCellStyle="Data"/>
    <tableColumn id="3" xr3:uid="{00000000-0010-0000-0000-000003000000}" name="AÇÕES DO PROJETO"/>
  </tableColumns>
  <tableStyleInfo name="Atribuições" showFirstColumn="1" showLastColumn="0" showRowStripes="1" showColumnStripes="0"/>
  <extLst>
    <ext xmlns:x14="http://schemas.microsoft.com/office/spreadsheetml/2009/9/main" uri="{504A1905-F514-4f6f-8877-14C23A59335A}">
      <x14:table altTextSummary="Insira um dia e uma tarefa para o dia da semana na coluna J. As tarefas serão destacadas no calendário do mês nesta planilha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refas_de_outubro" displayName="Tarefas_de_outubro" ref="J1:L31" totalsRowShown="0">
  <autoFilter ref="J1:L31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900-000001000000}" name="Dia da semana"/>
    <tableColumn id="2" xr3:uid="{00000000-0010-0000-0900-000002000000}" name="dia do calendário" dataCellStyle="Data"/>
    <tableColumn id="3" xr3:uid="{00000000-0010-0000-0900-000003000000}" name="AÇÕES DO PROJETO"/>
  </tableColumns>
  <tableStyleInfo name="Atribuições" showFirstColumn="1" showLastColumn="0" showRowStripes="1" showColumnStripes="0"/>
  <extLst>
    <ext xmlns:x14="http://schemas.microsoft.com/office/spreadsheetml/2009/9/main" uri="{504A1905-F514-4f6f-8877-14C23A59335A}">
      <x14:table altTextSummary="Insira um dia e uma tarefa para o dia da semana na coluna J. As tarefas serão destacadas no calendário do mês nesta planilha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refas_de_novembro" displayName="Tarefas_de_novembro" ref="J1:L31" totalsRowShown="0">
  <autoFilter ref="J1:L31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A00-000001000000}" name="Dia da semana"/>
    <tableColumn id="2" xr3:uid="{00000000-0010-0000-0A00-000002000000}" name="dia do calendário" dataDxfId="1" dataCellStyle="Data"/>
    <tableColumn id="3" xr3:uid="{00000000-0010-0000-0A00-000003000000}" name="AÇÕES DO PROJETO"/>
  </tableColumns>
  <tableStyleInfo name="Atribuições" showFirstColumn="1" showLastColumn="0" showRowStripes="1" showColumnStripes="0"/>
  <extLst>
    <ext xmlns:x14="http://schemas.microsoft.com/office/spreadsheetml/2009/9/main" uri="{504A1905-F514-4f6f-8877-14C23A59335A}">
      <x14:table altTextSummary="Insira um dia e uma tarefa para o dia da semana na coluna J. As tarefas serão destacadas no calendário do mês nesta planilha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refas_de_dezembro" displayName="Tarefas_de_dezembro" ref="J1:L31" totalsRowShown="0" dataCellStyle="Normal">
  <autoFilter ref="J1:L31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B00-000001000000}" name="Dia da semana"/>
    <tableColumn id="2" xr3:uid="{00000000-0010-0000-0B00-000002000000}" name="dia do calendário" dataDxfId="0" dataCellStyle="Data"/>
    <tableColumn id="3" xr3:uid="{00000000-0010-0000-0B00-000003000000}" name="AÇÕES DO PROJETO" dataCellStyle="Normal"/>
  </tableColumns>
  <tableStyleInfo name="Atribuições" showFirstColumn="1" showLastColumn="0" showRowStripes="1" showColumnStripes="0"/>
  <extLst>
    <ext xmlns:x14="http://schemas.microsoft.com/office/spreadsheetml/2009/9/main" uri="{504A1905-F514-4f6f-8877-14C23A59335A}">
      <x14:table altTextSummary="Insira um dia e uma tarefa para o dia da semana na coluna J. As tarefas serão destacadas no calendário do mês nesta planilha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refas_de_fevereiro" displayName="Tarefas_de_fevereiro" ref="J1:L31" totalsRowShown="0">
  <autoFilter ref="J1:L31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100-000001000000}" name="Dia da semana"/>
    <tableColumn id="2" xr3:uid="{00000000-0010-0000-0100-000002000000}" name="dia do calendário" dataCellStyle="Data"/>
    <tableColumn id="3" xr3:uid="{00000000-0010-0000-0100-000003000000}" name="AÇÕES DO PROJETO" dataCellStyle="Normal"/>
  </tableColumns>
  <tableStyleInfo name="Atribuições" showFirstColumn="1" showLastColumn="0" showRowStripes="1" showColumnStripes="0"/>
  <extLst>
    <ext xmlns:x14="http://schemas.microsoft.com/office/spreadsheetml/2009/9/main" uri="{504A1905-F514-4f6f-8877-14C23A59335A}">
      <x14:table altTextSummary="Insira um dia e uma tarefa para o dia da semana na coluna J. As tarefas serão destacadas no calendário do mês nesta planilha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refas_de_março" displayName="Tarefas_de_março" ref="J1:L31" totalsRowShown="0">
  <autoFilter ref="J1:L31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200-000001000000}" name="Dia da semana"/>
    <tableColumn id="2" xr3:uid="{00000000-0010-0000-0200-000002000000}" name="dia do calendário" dataCellStyle="Data"/>
    <tableColumn id="3" xr3:uid="{00000000-0010-0000-0200-000003000000}" name="AÇÕES DO PROJETO"/>
  </tableColumns>
  <tableStyleInfo name="Atribuições" showFirstColumn="1" showLastColumn="0" showRowStripes="1" showColumnStripes="0"/>
  <extLst>
    <ext xmlns:x14="http://schemas.microsoft.com/office/spreadsheetml/2009/9/main" uri="{504A1905-F514-4f6f-8877-14C23A59335A}">
      <x14:table altTextSummary="Insira um dia e uma tarefa para o dia da semana na coluna J. As tarefas serão destacadas no calendário do mês nesta planilha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refas_de_abril" displayName="Tarefas_de_abril" ref="J1:L31" totalsRowShown="0">
  <autoFilter ref="J1:L31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300-000001000000}" name="Dia da semana"/>
    <tableColumn id="2" xr3:uid="{00000000-0010-0000-0300-000002000000}" name="dia do calendário" dataCellStyle="Data"/>
    <tableColumn id="3" xr3:uid="{00000000-0010-0000-0300-000003000000}" name="AÇÕES DO PROJETO"/>
  </tableColumns>
  <tableStyleInfo name="Atribuições" showFirstColumn="1" showLastColumn="0" showRowStripes="1" showColumnStripes="0"/>
  <extLst>
    <ext xmlns:x14="http://schemas.microsoft.com/office/spreadsheetml/2009/9/main" uri="{504A1905-F514-4f6f-8877-14C23A59335A}">
      <x14:table altTextSummary="Insira um dia e uma tarefa para o dia da semana na coluna J. As tarefas serão destacadas no calendário do mês nesta planilha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refas_de_maio" displayName="Tarefas_de_maio" ref="J1:L31" totalsRowShown="0">
  <autoFilter ref="J1:L31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400-000001000000}" name="Dia da semana"/>
    <tableColumn id="2" xr3:uid="{00000000-0010-0000-0400-000002000000}" name="dia do calendário" dataCellStyle="Data"/>
    <tableColumn id="3" xr3:uid="{00000000-0010-0000-0400-000003000000}" name="AÇÕES DO PROJETO"/>
  </tableColumns>
  <tableStyleInfo name="Atribuições" showFirstColumn="1" showLastColumn="0" showRowStripes="1" showColumnStripes="0"/>
  <extLst>
    <ext xmlns:x14="http://schemas.microsoft.com/office/spreadsheetml/2009/9/main" uri="{504A1905-F514-4f6f-8877-14C23A59335A}">
      <x14:table altTextSummary="Insira um dia e uma tarefa para o dia da semana na coluna J. As tarefas serão destacadas no calendário do mês nesta planilha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refas_de_junho" displayName="Tarefas_de_junho" ref="J1:L31" totalsRowShown="0">
  <autoFilter ref="J1:L31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500-000001000000}" name="Dia da semana"/>
    <tableColumn id="2" xr3:uid="{00000000-0010-0000-0500-000002000000}" name="dia do calendário" dataDxfId="5" dataCellStyle="Data"/>
    <tableColumn id="3" xr3:uid="{00000000-0010-0000-0500-000003000000}" name="AÇÕES DO PROJETO"/>
  </tableColumns>
  <tableStyleInfo name="Atribuições" showFirstColumn="1" showLastColumn="0" showRowStripes="1" showColumnStripes="0"/>
  <extLst>
    <ext xmlns:x14="http://schemas.microsoft.com/office/spreadsheetml/2009/9/main" uri="{504A1905-F514-4f6f-8877-14C23A59335A}">
      <x14:table altTextSummary="Insira um dia e uma tarefa para o dia da semana na coluna J. As tarefas serão destacadas no calendário do mês nesta planilha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refas_de_julho" displayName="Tarefas_de_julho" ref="J1:L31" totalsRowShown="0">
  <autoFilter ref="J1:L31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600-000001000000}" name="Dia da semana"/>
    <tableColumn id="2" xr3:uid="{00000000-0010-0000-0600-000002000000}" name="dia do calendário" dataDxfId="4" dataCellStyle="Data"/>
    <tableColumn id="3" xr3:uid="{00000000-0010-0000-0600-000003000000}" name="AÇÕES DO PROJETO"/>
  </tableColumns>
  <tableStyleInfo name="Atribuições" showFirstColumn="1" showLastColumn="0" showRowStripes="1" showColumnStripes="0"/>
  <extLst>
    <ext xmlns:x14="http://schemas.microsoft.com/office/spreadsheetml/2009/9/main" uri="{504A1905-F514-4f6f-8877-14C23A59335A}">
      <x14:table altTextSummary="Insira um dia e uma tarefa para o dia da semana na coluna J. As tarefas serão destacadas no calendário do mês nesta planilha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refas_de_agosto" displayName="Tarefas_de_agosto" ref="J1:L31" totalsRowShown="0">
  <autoFilter ref="J1:L31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700-000001000000}" name="Dia da semana"/>
    <tableColumn id="2" xr3:uid="{00000000-0010-0000-0700-000002000000}" name="dia do calendário" dataDxfId="3"/>
    <tableColumn id="3" xr3:uid="{00000000-0010-0000-0700-000003000000}" name="AÇÕES DO PROJETO"/>
  </tableColumns>
  <tableStyleInfo name="Atribuições" showFirstColumn="1" showLastColumn="0" showRowStripes="1" showColumnStripes="0"/>
  <extLst>
    <ext xmlns:x14="http://schemas.microsoft.com/office/spreadsheetml/2009/9/main" uri="{504A1905-F514-4f6f-8877-14C23A59335A}">
      <x14:table altTextSummary="Insira um dia e uma tarefa para o dia da semana na coluna J. As tarefas serão destacadas no calendário do mês nesta planilha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refas_de_setembro" displayName="Tarefas_de_setembro" ref="J1:L31" totalsRowShown="0">
  <autoFilter ref="J1:L31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800-000001000000}" name="Dia da semana"/>
    <tableColumn id="2" xr3:uid="{00000000-0010-0000-0800-000002000000}" name="dia do calendário" dataDxfId="2" dataCellStyle="Data"/>
    <tableColumn id="3" xr3:uid="{00000000-0010-0000-0800-000003000000}" name="AÇÕES DO PROJETO"/>
  </tableColumns>
  <tableStyleInfo name="Atribuições" showFirstColumn="1" showLastColumn="0" showRowStripes="1" showColumnStripes="0"/>
  <extLst>
    <ext xmlns:x14="http://schemas.microsoft.com/office/spreadsheetml/2009/9/main" uri="{504A1905-F514-4f6f-8877-14C23A59335A}">
      <x14:table altTextSummary="Insira um dia e uma tarefa para o dia da semana na coluna J. As tarefas serão destacadas no calendário do mês nesta planilha"/>
    </ext>
  </extLst>
</table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L31"/>
  <sheetViews>
    <sheetView showGridLines="0" topLeftCell="C1" zoomScaleNormal="100" zoomScalePageLayoutView="84" workbookViewId="0">
      <selection activeCell="L1" sqref="L1"/>
    </sheetView>
  </sheetViews>
  <sheetFormatPr defaultColWidth="8.625" defaultRowHeight="30" customHeight="1"/>
  <cols>
    <col min="1" max="1" width="2.625" customWidth="1"/>
    <col min="2" max="2" width="20.625" customWidth="1"/>
    <col min="3" max="8" width="10.625" customWidth="1"/>
    <col min="9" max="9" width="20.625" customWidth="1"/>
    <col min="10" max="11" width="10.625" customWidth="1"/>
    <col min="12" max="12" width="70.625" customWidth="1"/>
    <col min="13" max="13" width="2.625" customWidth="1"/>
    <col min="14" max="14" width="8.625" customWidth="1"/>
  </cols>
  <sheetData>
    <row r="1" spans="1:12" ht="30" customHeight="1">
      <c r="B1" s="7">
        <v>2025</v>
      </c>
      <c r="C1" s="5" t="s">
        <v>9</v>
      </c>
      <c r="J1" s="20" t="s">
        <v>22</v>
      </c>
      <c r="K1" s="20" t="s">
        <v>23</v>
      </c>
      <c r="L1" s="10" t="s">
        <v>36</v>
      </c>
    </row>
    <row r="2" spans="1:12" ht="30" customHeight="1">
      <c r="A2" s="12"/>
      <c r="B2" s="37" t="s">
        <v>0</v>
      </c>
      <c r="C2" s="6" t="s">
        <v>10</v>
      </c>
      <c r="D2" s="6" t="s">
        <v>2</v>
      </c>
      <c r="E2" s="6" t="s">
        <v>16</v>
      </c>
      <c r="F2" s="6" t="s">
        <v>17</v>
      </c>
      <c r="G2" s="6" t="s">
        <v>18</v>
      </c>
      <c r="H2" s="6" t="s">
        <v>20</v>
      </c>
      <c r="I2" s="6" t="s">
        <v>21</v>
      </c>
      <c r="J2" s="9" t="s">
        <v>2</v>
      </c>
      <c r="K2" s="48"/>
      <c r="L2" s="14"/>
    </row>
    <row r="3" spans="1:12" ht="30" customHeight="1">
      <c r="A3" s="12"/>
      <c r="C3" s="41">
        <f>IF(DAY(JanDom1)=1,JanDom1-6,JanDom1+1)</f>
        <v>45655</v>
      </c>
      <c r="D3" s="41">
        <f>IF(DAY(JanDom1)=1,JanDom1-5,JanDom1+2)</f>
        <v>45656</v>
      </c>
      <c r="E3" s="41">
        <f>IF(DAY(JanDom1)=1,JanDom1-4,JanDom1+3)</f>
        <v>45657</v>
      </c>
      <c r="F3" s="41">
        <f>IF(DAY(JanDom1)=1,JanDom1-3,JanDom1+4)</f>
        <v>45658</v>
      </c>
      <c r="G3" s="41">
        <f>IF(DAY(JanDom1)=1,JanDom1-2,JanDom1+5)</f>
        <v>45659</v>
      </c>
      <c r="H3" s="41">
        <f>IF(DAY(JanDom1)=1,JanDom1-1,JanDom1+6)</f>
        <v>45660</v>
      </c>
      <c r="I3" s="41">
        <f>IF(DAY(JanDom1)=1,JanDom1,JanDom1+7)</f>
        <v>45661</v>
      </c>
      <c r="J3" s="9"/>
      <c r="K3" s="48"/>
      <c r="L3" s="14"/>
    </row>
    <row r="4" spans="1:12" ht="30" customHeight="1">
      <c r="A4" s="12"/>
      <c r="C4" s="41">
        <f>IF(DAY(JanDom1)=1,JanDom1+1,JanDom1+8)</f>
        <v>45662</v>
      </c>
      <c r="D4" s="41">
        <f>IF(DAY(JanDom1)=1,JanDom1+2,JanDom1+9)</f>
        <v>45663</v>
      </c>
      <c r="E4" s="41">
        <f>IF(DAY(JanDom1)=1,JanDom1+3,JanDom1+10)</f>
        <v>45664</v>
      </c>
      <c r="F4" s="41">
        <f>IF(DAY(JanDom1)=1,JanDom1+4,JanDom1+11)</f>
        <v>45665</v>
      </c>
      <c r="G4" s="41">
        <f>IF(DAY(JanDom1)=1,JanDom1+5,JanDom1+12)</f>
        <v>45666</v>
      </c>
      <c r="H4" s="41">
        <f>IF(DAY(JanDom1)=1,JanDom1+6,JanDom1+13)</f>
        <v>45667</v>
      </c>
      <c r="I4" s="41">
        <f>IF(DAY(JanDom1)=1,JanDom1+7,JanDom1+14)</f>
        <v>45668</v>
      </c>
      <c r="J4" s="9"/>
      <c r="K4" s="48"/>
      <c r="L4" s="14"/>
    </row>
    <row r="5" spans="1:12" ht="30" customHeight="1">
      <c r="A5" s="12"/>
      <c r="C5" s="41">
        <f>IF(DAY(JanDom1)=1,JanDom1+8,JanDom1+15)</f>
        <v>45669</v>
      </c>
      <c r="D5" s="41">
        <f>IF(DAY(JanDom1)=1,JanDom1+9,JanDom1+16)</f>
        <v>45670</v>
      </c>
      <c r="E5" s="41">
        <f>IF(DAY(JanDom1)=1,JanDom1+10,JanDom1+17)</f>
        <v>45671</v>
      </c>
      <c r="F5" s="41">
        <f>IF(DAY(JanDom1)=1,JanDom1+11,JanDom1+18)</f>
        <v>45672</v>
      </c>
      <c r="G5" s="41">
        <f>IF(DAY(JanDom1)=1,JanDom1+12,JanDom1+19)</f>
        <v>45673</v>
      </c>
      <c r="H5" s="41">
        <f>IF(DAY(JanDom1)=1,JanDom1+13,JanDom1+20)</f>
        <v>45674</v>
      </c>
      <c r="I5" s="41">
        <f>IF(DAY(JanDom1)=1,JanDom1+14,JanDom1+21)</f>
        <v>45675</v>
      </c>
      <c r="J5" s="9"/>
      <c r="K5" s="48"/>
      <c r="L5" s="14"/>
    </row>
    <row r="6" spans="1:12" ht="30" customHeight="1">
      <c r="A6" s="12"/>
      <c r="C6" s="41">
        <f>IF(DAY(JanDom1)=1,JanDom1+15,JanDom1+22)</f>
        <v>45676</v>
      </c>
      <c r="D6" s="41">
        <f>IF(DAY(JanDom1)=1,JanDom1+16,JanDom1+23)</f>
        <v>45677</v>
      </c>
      <c r="E6" s="41">
        <f>IF(DAY(JanDom1)=1,JanDom1+17,JanDom1+24)</f>
        <v>45678</v>
      </c>
      <c r="F6" s="41">
        <f>IF(DAY(JanDom1)=1,JanDom1+18,JanDom1+25)</f>
        <v>45679</v>
      </c>
      <c r="G6" s="41">
        <f>IF(DAY(JanDom1)=1,JanDom1+19,JanDom1+26)</f>
        <v>45680</v>
      </c>
      <c r="H6" s="41">
        <f>IF(DAY(JanDom1)=1,JanDom1+20,JanDom1+27)</f>
        <v>45681</v>
      </c>
      <c r="I6" s="41">
        <f>IF(DAY(JanDom1)=1,JanDom1+21,JanDom1+28)</f>
        <v>45682</v>
      </c>
      <c r="J6" s="9"/>
      <c r="K6" s="48"/>
      <c r="L6" s="14"/>
    </row>
    <row r="7" spans="1:12" ht="30" customHeight="1">
      <c r="A7" s="12"/>
      <c r="C7" s="41">
        <f>IF(DAY(JanDom1)=1,JanDom1+22,JanDom1+29)</f>
        <v>45683</v>
      </c>
      <c r="D7" s="41">
        <f>IF(DAY(JanDom1)=1,JanDom1+23,JanDom1+30)</f>
        <v>45684</v>
      </c>
      <c r="E7" s="41">
        <f>IF(DAY(JanDom1)=1,JanDom1+24,JanDom1+31)</f>
        <v>45685</v>
      </c>
      <c r="F7" s="41">
        <f>IF(DAY(JanDom1)=1,JanDom1+25,JanDom1+32)</f>
        <v>45686</v>
      </c>
      <c r="G7" s="41">
        <f>IF(DAY(JanDom1)=1,JanDom1+26,JanDom1+33)</f>
        <v>45687</v>
      </c>
      <c r="H7" s="41">
        <f>IF(DAY(JanDom1)=1,JanDom1+27,JanDom1+34)</f>
        <v>45688</v>
      </c>
      <c r="I7" s="41">
        <f>IF(DAY(JanDom1)=1,JanDom1+28,JanDom1+35)</f>
        <v>45689</v>
      </c>
      <c r="J7" s="21"/>
      <c r="K7" s="48"/>
      <c r="L7" s="17"/>
    </row>
    <row r="8" spans="1:12" ht="30" customHeight="1">
      <c r="A8" s="12"/>
      <c r="B8" s="17"/>
      <c r="C8" s="42">
        <f>IF(DAY(JanDom1)=1,JanDom1+29,JanDom1+36)</f>
        <v>45690</v>
      </c>
      <c r="D8" s="42">
        <f>IF(DAY(JanDom1)=1,JanDom1+30,JanDom1+37)</f>
        <v>45691</v>
      </c>
      <c r="E8" s="42">
        <f>IF(DAY(JanDom1)=1,JanDom1+31,JanDom1+38)</f>
        <v>45692</v>
      </c>
      <c r="F8" s="42">
        <f>IF(DAY(JanDom1)=1,JanDom1+32,JanDom1+39)</f>
        <v>45693</v>
      </c>
      <c r="G8" s="42">
        <f>IF(DAY(JanDom1)=1,JanDom1+33,JanDom1+40)</f>
        <v>45694</v>
      </c>
      <c r="H8" s="42">
        <f>IF(DAY(JanDom1)=1,JanDom1+34,JanDom1+41)</f>
        <v>45695</v>
      </c>
      <c r="I8" s="42">
        <f>IF(DAY(JanDom1)=1,JanDom1+35,JanDom1+42)</f>
        <v>45696</v>
      </c>
      <c r="J8" s="9" t="s">
        <v>16</v>
      </c>
      <c r="K8" s="48"/>
      <c r="L8" s="14"/>
    </row>
    <row r="9" spans="1:12" ht="30" customHeight="1">
      <c r="A9" s="12"/>
      <c r="J9" s="9"/>
      <c r="K9" s="48"/>
      <c r="L9" s="14"/>
    </row>
    <row r="10" spans="1:12" ht="30" customHeight="1">
      <c r="A10" s="12"/>
      <c r="B10" s="16" t="s">
        <v>1</v>
      </c>
      <c r="C10" s="8"/>
      <c r="D10" s="8"/>
      <c r="E10" s="8"/>
      <c r="F10" s="8"/>
      <c r="G10" s="8"/>
      <c r="H10" s="8"/>
      <c r="I10" s="8"/>
      <c r="J10" s="9"/>
      <c r="K10" s="48"/>
      <c r="L10" s="14"/>
    </row>
    <row r="11" spans="1:12" ht="30" customHeight="1">
      <c r="A11" s="25"/>
      <c r="B11" s="13" t="s">
        <v>2</v>
      </c>
      <c r="C11" s="51" t="s">
        <v>11</v>
      </c>
      <c r="D11" s="52"/>
      <c r="E11" s="51" t="s">
        <v>17</v>
      </c>
      <c r="F11" s="52"/>
      <c r="G11" s="51" t="s">
        <v>19</v>
      </c>
      <c r="H11" s="52"/>
      <c r="I11" s="3" t="s">
        <v>20</v>
      </c>
      <c r="J11" s="9"/>
      <c r="K11" s="48"/>
      <c r="L11" s="14"/>
    </row>
    <row r="12" spans="1:12" ht="30" customHeight="1">
      <c r="A12" s="25"/>
      <c r="B12" s="44"/>
      <c r="C12" s="53"/>
      <c r="D12" s="53"/>
      <c r="E12" s="53"/>
      <c r="F12" s="53"/>
      <c r="G12" s="53"/>
      <c r="H12" s="53"/>
      <c r="I12" s="45"/>
      <c r="J12" s="9"/>
      <c r="K12" s="48"/>
      <c r="L12" s="14"/>
    </row>
    <row r="13" spans="1:12" ht="30" customHeight="1">
      <c r="A13" s="25"/>
      <c r="B13" s="26"/>
      <c r="C13" s="54"/>
      <c r="D13" s="54"/>
      <c r="E13" s="54"/>
      <c r="F13" s="54"/>
      <c r="G13" s="54"/>
      <c r="H13" s="54"/>
      <c r="I13" s="27"/>
      <c r="J13" s="21"/>
      <c r="K13" s="48"/>
      <c r="L13" s="17"/>
    </row>
    <row r="14" spans="1:12" ht="30" customHeight="1">
      <c r="A14" s="25"/>
      <c r="B14" s="44"/>
      <c r="C14" s="53"/>
      <c r="D14" s="53"/>
      <c r="E14" s="53"/>
      <c r="F14" s="53"/>
      <c r="G14" s="53"/>
      <c r="H14" s="53"/>
      <c r="I14" s="45"/>
      <c r="J14" s="9" t="s">
        <v>17</v>
      </c>
      <c r="K14" s="48"/>
      <c r="L14" s="14"/>
    </row>
    <row r="15" spans="1:12" ht="30" customHeight="1">
      <c r="A15" s="25"/>
      <c r="B15" s="26"/>
      <c r="C15" s="54"/>
      <c r="D15" s="54"/>
      <c r="E15" s="54"/>
      <c r="F15" s="54"/>
      <c r="G15" s="54"/>
      <c r="H15" s="54"/>
      <c r="I15" s="27"/>
      <c r="J15" s="9"/>
      <c r="K15" s="48"/>
      <c r="L15" s="14"/>
    </row>
    <row r="16" spans="1:12" ht="30" customHeight="1">
      <c r="A16" s="25"/>
      <c r="B16" s="44"/>
      <c r="C16" s="53"/>
      <c r="D16" s="53"/>
      <c r="E16" s="53"/>
      <c r="F16" s="53"/>
      <c r="G16" s="53"/>
      <c r="H16" s="53"/>
      <c r="I16" s="45"/>
      <c r="J16" s="9"/>
      <c r="K16" s="48"/>
      <c r="L16" s="14"/>
    </row>
    <row r="17" spans="1:12" ht="30" customHeight="1">
      <c r="A17" s="25"/>
      <c r="B17" s="26"/>
      <c r="C17" s="54"/>
      <c r="D17" s="54"/>
      <c r="E17" s="54"/>
      <c r="F17" s="54"/>
      <c r="G17" s="54"/>
      <c r="H17" s="54"/>
      <c r="I17" s="27"/>
      <c r="J17" s="9"/>
      <c r="K17" s="48"/>
      <c r="L17" s="14"/>
    </row>
    <row r="18" spans="1:12" ht="30" customHeight="1">
      <c r="A18" s="25"/>
      <c r="B18" s="44"/>
      <c r="C18" s="53"/>
      <c r="D18" s="53"/>
      <c r="E18" s="53"/>
      <c r="F18" s="53"/>
      <c r="G18" s="53"/>
      <c r="H18" s="53"/>
      <c r="I18" s="45"/>
      <c r="J18" s="9"/>
      <c r="K18" s="48"/>
      <c r="L18" s="14"/>
    </row>
    <row r="19" spans="1:12" ht="30" customHeight="1">
      <c r="A19" s="25"/>
      <c r="B19" s="26"/>
      <c r="C19" s="54"/>
      <c r="D19" s="54"/>
      <c r="E19" s="54"/>
      <c r="F19" s="54"/>
      <c r="G19" s="54"/>
      <c r="H19" s="54"/>
      <c r="I19" s="28"/>
      <c r="J19" s="21"/>
      <c r="K19" s="48"/>
      <c r="L19" s="18"/>
    </row>
    <row r="20" spans="1:12" ht="30" customHeight="1">
      <c r="A20" s="25"/>
      <c r="B20" s="44"/>
      <c r="C20" s="53"/>
      <c r="D20" s="53"/>
      <c r="E20" s="53"/>
      <c r="F20" s="53"/>
      <c r="G20" s="53"/>
      <c r="H20" s="53"/>
      <c r="I20" s="45"/>
      <c r="J20" s="9" t="s">
        <v>18</v>
      </c>
      <c r="K20" s="48"/>
      <c r="L20" s="14"/>
    </row>
    <row r="21" spans="1:12" ht="30" customHeight="1">
      <c r="A21" s="25"/>
      <c r="B21" s="26"/>
      <c r="C21" s="54"/>
      <c r="D21" s="54"/>
      <c r="E21" s="54"/>
      <c r="F21" s="54"/>
      <c r="G21" s="54"/>
      <c r="H21" s="54"/>
      <c r="I21" s="27"/>
      <c r="J21" s="9"/>
      <c r="K21" s="48"/>
      <c r="L21" s="14"/>
    </row>
    <row r="22" spans="1:12" ht="30" customHeight="1">
      <c r="A22" s="25"/>
      <c r="B22" s="44"/>
      <c r="C22" s="53"/>
      <c r="D22" s="53"/>
      <c r="E22" s="53"/>
      <c r="F22" s="53"/>
      <c r="G22" s="53"/>
      <c r="H22" s="53"/>
      <c r="I22" s="45"/>
      <c r="J22" s="9"/>
      <c r="K22" s="48"/>
      <c r="L22" s="14"/>
    </row>
    <row r="23" spans="1:12" ht="30" customHeight="1">
      <c r="A23" s="25"/>
      <c r="B23" s="26"/>
      <c r="C23" s="54"/>
      <c r="D23" s="54"/>
      <c r="E23" s="54"/>
      <c r="F23" s="54"/>
      <c r="G23" s="54"/>
      <c r="H23" s="54"/>
      <c r="I23" s="27"/>
      <c r="J23" s="9"/>
      <c r="K23" s="48"/>
      <c r="L23" s="14"/>
    </row>
    <row r="24" spans="1:12" ht="30" customHeight="1">
      <c r="A24" s="25"/>
      <c r="B24" s="44"/>
      <c r="C24" s="53"/>
      <c r="D24" s="53"/>
      <c r="E24" s="53"/>
      <c r="F24" s="53"/>
      <c r="G24" s="53"/>
      <c r="H24" s="53"/>
      <c r="I24" s="45"/>
      <c r="J24" s="9"/>
      <c r="K24" s="48"/>
      <c r="L24" s="14"/>
    </row>
    <row r="25" spans="1:12" ht="30" customHeight="1">
      <c r="A25" s="25"/>
      <c r="B25" s="26"/>
      <c r="C25" s="54"/>
      <c r="D25" s="54"/>
      <c r="E25" s="54"/>
      <c r="F25" s="54"/>
      <c r="G25" s="54"/>
      <c r="H25" s="54"/>
      <c r="I25" s="27"/>
      <c r="J25" s="21"/>
      <c r="K25" s="48"/>
      <c r="L25" s="18"/>
    </row>
    <row r="26" spans="1:12" ht="30" customHeight="1">
      <c r="A26" s="25"/>
      <c r="B26" s="44"/>
      <c r="C26" s="53"/>
      <c r="D26" s="53"/>
      <c r="E26" s="53"/>
      <c r="F26" s="53"/>
      <c r="G26" s="53"/>
      <c r="H26" s="53"/>
      <c r="I26" s="45"/>
      <c r="J26" s="9" t="s">
        <v>20</v>
      </c>
      <c r="K26" s="48"/>
      <c r="L26" s="14"/>
    </row>
    <row r="27" spans="1:12" ht="30" customHeight="1">
      <c r="A27" s="25"/>
      <c r="B27" s="26"/>
      <c r="C27" s="54"/>
      <c r="D27" s="54"/>
      <c r="E27" s="54"/>
      <c r="F27" s="54"/>
      <c r="G27" s="54"/>
      <c r="H27" s="54"/>
      <c r="I27" s="27"/>
      <c r="J27" s="9"/>
      <c r="K27" s="48"/>
      <c r="L27" s="14"/>
    </row>
    <row r="28" spans="1:12" ht="30" customHeight="1">
      <c r="A28" s="25"/>
      <c r="B28" s="44"/>
      <c r="C28" s="53"/>
      <c r="D28" s="53"/>
      <c r="E28" s="53"/>
      <c r="F28" s="53"/>
      <c r="G28" s="53"/>
      <c r="H28" s="53"/>
      <c r="I28" s="45"/>
      <c r="J28" s="9"/>
      <c r="K28" s="48"/>
      <c r="L28" s="14"/>
    </row>
    <row r="29" spans="1:12" ht="30" customHeight="1">
      <c r="A29" s="25"/>
      <c r="B29" s="26"/>
      <c r="C29" s="54"/>
      <c r="D29" s="54"/>
      <c r="E29" s="54"/>
      <c r="F29" s="54"/>
      <c r="G29" s="54"/>
      <c r="H29" s="54"/>
      <c r="I29" s="27"/>
      <c r="J29" s="9"/>
      <c r="K29" s="48"/>
      <c r="L29" s="14"/>
    </row>
    <row r="30" spans="1:12" ht="30" customHeight="1">
      <c r="A30" s="25"/>
      <c r="B30" s="44"/>
      <c r="C30" s="56"/>
      <c r="D30" s="56"/>
      <c r="E30" s="56"/>
      <c r="F30" s="56"/>
      <c r="G30" s="56"/>
      <c r="H30" s="56"/>
      <c r="I30" s="45"/>
      <c r="J30" s="9"/>
      <c r="K30" s="48"/>
      <c r="L30" s="14"/>
    </row>
    <row r="31" spans="1:12" ht="30" customHeight="1">
      <c r="A31" s="25"/>
      <c r="B31" s="29"/>
      <c r="C31" s="55"/>
      <c r="D31" s="55"/>
      <c r="E31" s="55"/>
      <c r="F31" s="55"/>
      <c r="G31" s="55"/>
      <c r="H31" s="55"/>
      <c r="I31" s="30"/>
      <c r="J31" s="15"/>
      <c r="K31" s="48"/>
      <c r="L31" s="14"/>
    </row>
  </sheetData>
  <dataConsolidate/>
  <mergeCells count="63">
    <mergeCell ref="E11:F11"/>
    <mergeCell ref="C11:D11"/>
    <mergeCell ref="C17:D17"/>
    <mergeCell ref="C12:D12"/>
    <mergeCell ref="C13:D13"/>
    <mergeCell ref="C14:D14"/>
    <mergeCell ref="C15:D15"/>
    <mergeCell ref="C16:D16"/>
    <mergeCell ref="E14:F14"/>
    <mergeCell ref="E13:F13"/>
    <mergeCell ref="E12:F12"/>
    <mergeCell ref="C31:D3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8:D18"/>
    <mergeCell ref="C19:D19"/>
    <mergeCell ref="C20:D20"/>
    <mergeCell ref="C21:D21"/>
    <mergeCell ref="E31:F31"/>
    <mergeCell ref="E30:F30"/>
    <mergeCell ref="E29:F29"/>
    <mergeCell ref="E28:F28"/>
    <mergeCell ref="E27:F27"/>
    <mergeCell ref="E26:F26"/>
    <mergeCell ref="E25:F25"/>
    <mergeCell ref="E24:F24"/>
    <mergeCell ref="E23:F23"/>
    <mergeCell ref="E22:F22"/>
    <mergeCell ref="E21:F21"/>
    <mergeCell ref="E20:F20"/>
    <mergeCell ref="E19:F19"/>
    <mergeCell ref="E18:F18"/>
    <mergeCell ref="E17:F17"/>
    <mergeCell ref="E16:F16"/>
    <mergeCell ref="E15:F15"/>
    <mergeCell ref="G31:H31"/>
    <mergeCell ref="G20:H20"/>
    <mergeCell ref="G21:H21"/>
    <mergeCell ref="G22:H22"/>
    <mergeCell ref="G28:H28"/>
    <mergeCell ref="G29:H29"/>
    <mergeCell ref="G30:H30"/>
    <mergeCell ref="G23:H23"/>
    <mergeCell ref="G24:H24"/>
    <mergeCell ref="G25:H25"/>
    <mergeCell ref="G26:H26"/>
    <mergeCell ref="G18:H18"/>
    <mergeCell ref="G19:H19"/>
    <mergeCell ref="G14:H14"/>
    <mergeCell ref="G15:H15"/>
    <mergeCell ref="G27:H27"/>
    <mergeCell ref="G11:H11"/>
    <mergeCell ref="G12:H12"/>
    <mergeCell ref="G13:H13"/>
    <mergeCell ref="G16:H16"/>
    <mergeCell ref="G17:H17"/>
  </mergeCells>
  <phoneticPr fontId="3" type="noConversion"/>
  <conditionalFormatting sqref="B12:I12 B14:I14 B16:I16 B18:I18 B20:I20 B22:I22 B24:I24 B26:I26 B28:I28 B30:I30">
    <cfRule type="expression" dxfId="91" priority="6">
      <formula>B12&lt;&gt;""</formula>
    </cfRule>
  </conditionalFormatting>
  <conditionalFormatting sqref="B12:I31">
    <cfRule type="expression" dxfId="90" priority="1">
      <formula>COLUMN(B11)&gt;2</formula>
    </cfRule>
  </conditionalFormatting>
  <conditionalFormatting sqref="B13:I13 B15:I15 B17:I17 B19:I19 B21:I21 B23:I23 B25:I25 B27:I27 B29:I29 B31:I31">
    <cfRule type="expression" dxfId="89" priority="4">
      <formula>B13&lt;&gt;""</formula>
    </cfRule>
  </conditionalFormatting>
  <conditionalFormatting sqref="B13:I13 B15:I15 B17:I17 B19:I19 B21:I21 B23:I23 B25:I25 B27:I27 B29:I29">
    <cfRule type="expression" dxfId="88" priority="3">
      <formula>COLUMN(B12)&gt;=2</formula>
    </cfRule>
  </conditionalFormatting>
  <conditionalFormatting sqref="C3:H3">
    <cfRule type="expression" dxfId="87" priority="9" stopIfTrue="1">
      <formula>DAY(C3)&gt;8</formula>
    </cfRule>
  </conditionalFormatting>
  <conditionalFormatting sqref="C3:I8">
    <cfRule type="expression" dxfId="86" priority="20">
      <formula>VLOOKUP(DAY(C3),DiasTarefa,1,FALSE)=DAY(C3)</formula>
    </cfRule>
  </conditionalFormatting>
  <conditionalFormatting sqref="C7:I8">
    <cfRule type="expression" dxfId="85" priority="8" stopIfTrue="1">
      <formula>AND(DAY(C7)&gt;=1,DAY(C7)&lt;=15)</formula>
    </cfRule>
  </conditionalFormatting>
  <dataValidations xWindow="250" yWindow="581" count="16">
    <dataValidation allowBlank="1" showInputMessage="1" showErrorMessage="1" prompt="Insira o ano nesta célula" sqref="B1" xr:uid="{00000000-0002-0000-0000-000000000000}"/>
    <dataValidation allowBlank="1" showInputMessage="1" showErrorMessage="1" prompt="Prepare um cronograma semanal e crie uma lista de tarefas nesta planilha. As entradas da lista de tarefas são destacadas automaticamente no calendário mensal. Insira o ano civil na célula B1" sqref="A1" xr:uid="{00000000-0002-0000-0000-000001000000}"/>
    <dataValidation allowBlank="1" showInputMessage="1" showErrorMessage="1" prompt="O calendário de janeiro destaca automaticamente as entradas da lista de tarefas para o mês. As fontes mais escuras são tarefas. As fontes mais claras são os dias que pertencem ao mês anterior ou seguinte" sqref="B2" xr:uid="{00000000-0002-0000-0000-000002000000}"/>
    <dataValidation allowBlank="1" showInputMessage="1" showErrorMessage="1" prompt="Células C2:I2 contêm dias da semana" sqref="C2:D2" xr:uid="{00000000-0002-0000-0000-000003000000}"/>
    <dataValidation allowBlank="1" showInputMessage="1" showErrorMessage="1" prompt="Se esta célula não contiver o número 1, será um dia de um mês anterior. Células C3:I8 contêm datas para o mês atual" sqref="C3" xr:uid="{00000000-0002-0000-0000-000004000000}"/>
    <dataValidation allowBlank="1" showInputMessage="1" showErrorMessage="1" prompt="Insira o horário da aula e, abaixo, em uma nova linha, o nome da aula para cada dia da semana nas colunas de B a I. Repita esse padrão para todas as aulas nas linhas subsequentes" sqref="B10" xr:uid="{00000000-0002-0000-0000-000005000000}"/>
    <dataValidation allowBlank="1" showInputMessage="1" showErrorMessage="1" prompt="Insira a aula nesta linha das colunas B a I" sqref="B13" xr:uid="{00000000-0002-0000-0000-000006000000}"/>
    <dataValidation allowBlank="1" showInputMessage="1" showErrorMessage="1" prompt="Insira o dia do mês da tarefa nesta coluna, que corresponde ao dia da semana na coluna J. Essa data destacará a tarefa no calendário à esquerda" sqref="K1" xr:uid="{00000000-0002-0000-0000-000007000000}"/>
    <dataValidation allowBlank="1" showInputMessage="1" showErrorMessage="1" prompt="Insira o horário nesta linha das colunas B a I" sqref="B12" xr:uid="{00000000-0002-0000-0000-000008000000}"/>
    <dataValidation allowBlank="1" showInputMessage="1" showErrorMessage="1" prompt="Insira os detalhes da tarefa nesta coluna, que corresponde ao dia da semana na coluna J e ao dia na coluna K para o mês do calendário à esquerda" sqref="L1" xr:uid="{A48E7816-6A02-4579-B75F-08C913A0F508}"/>
    <dataValidation allowBlank="1" showInputMessage="1" showErrorMessage="1" prompt="Se esta linha contiver um número menor que o número ou a linha de números anterior, ela conterá datas para o próximo mês do calendário" sqref="C8" xr:uid="{00000000-0002-0000-0000-00000A000000}"/>
    <dataValidation allowBlank="1" showInputMessage="1" showErrorMessage="1" prompt="Os dias da semana são agrupados nesta coluna, com 6 linhas para as tarefas de cada dia da semana do mês agrupado. Insira novas linhas para adicionar mais tarefas. O calendário à esquerda destacará os itens" sqref="J1" xr:uid="{00000000-0002-0000-0000-00000B000000}"/>
    <dataValidation allowBlank="1" showInputMessage="1" showErrorMessage="1" prompt="Os dias da semana estão nesta linha, de segunda a sexta" sqref="B11" xr:uid="{00000000-0002-0000-0000-00000C000000}"/>
    <dataValidation allowBlank="1" showInputMessage="1" showErrorMessage="1" prompt="O dia da semana vai nessa linha, começando na célula B11" sqref="A11" xr:uid="{88F46378-B132-4442-B6E6-D4F082FFCBDB}"/>
    <dataValidation allowBlank="1" showInputMessage="1" showErrorMessage="1" prompt="O horário da aula vai nessa linha,começando na célula à direita_x000a_" sqref="A12 A14 A16 A18 A20 A22 A24 A26 A28 A30" xr:uid="{C34C8DFE-3BD5-4F27-BE29-D25062965CDB}"/>
    <dataValidation allowBlank="1" showInputMessage="1" showErrorMessage="1" prompt="O nome da aula vai nessa linha, começando na célula à direita" sqref="A13 A15 A17 A19 A21 A23 A25 A27 A29 A31" xr:uid="{E6CB7532-0824-4D1A-A8F6-BBB43E459C2B}"/>
  </dataValidations>
  <printOptions horizontalCentered="1" verticalCentered="1"/>
  <pageMargins left="0.5" right="0.5" top="0.5" bottom="0.5" header="0.3" footer="0.3"/>
  <pageSetup paperSize="9" scale="58" orientation="landscape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  <pageSetUpPr fitToPage="1"/>
  </sheetPr>
  <dimension ref="A1:L31"/>
  <sheetViews>
    <sheetView showGridLines="0" topLeftCell="E1" zoomScaleNormal="100" zoomScalePageLayoutView="84" workbookViewId="0">
      <selection activeCell="L1" sqref="L1"/>
    </sheetView>
  </sheetViews>
  <sheetFormatPr defaultColWidth="8.625" defaultRowHeight="30" customHeight="1"/>
  <cols>
    <col min="1" max="1" width="2.625" customWidth="1"/>
    <col min="2" max="2" width="20.625" customWidth="1"/>
    <col min="3" max="8" width="10.625" customWidth="1"/>
    <col min="9" max="9" width="20.625" customWidth="1"/>
    <col min="10" max="11" width="10.625" customWidth="1"/>
    <col min="12" max="12" width="70.625" customWidth="1"/>
    <col min="13" max="13" width="2.625" customWidth="1"/>
  </cols>
  <sheetData>
    <row r="1" spans="1:12" ht="30" customHeight="1">
      <c r="B1" s="11">
        <f>AnoCivil</f>
        <v>2025</v>
      </c>
      <c r="J1" s="20" t="s">
        <v>22</v>
      </c>
      <c r="K1" s="20" t="s">
        <v>23</v>
      </c>
      <c r="L1" s="10" t="s">
        <v>36</v>
      </c>
    </row>
    <row r="2" spans="1:12" ht="30" customHeight="1">
      <c r="A2" s="12"/>
      <c r="B2" s="38" t="s">
        <v>33</v>
      </c>
      <c r="C2" s="6" t="s">
        <v>10</v>
      </c>
      <c r="D2" s="6" t="s">
        <v>2</v>
      </c>
      <c r="E2" s="6" t="s">
        <v>16</v>
      </c>
      <c r="F2" s="6" t="s">
        <v>17</v>
      </c>
      <c r="G2" s="6" t="s">
        <v>18</v>
      </c>
      <c r="H2" s="6" t="s">
        <v>20</v>
      </c>
      <c r="I2" s="6" t="s">
        <v>21</v>
      </c>
      <c r="J2" s="9" t="s">
        <v>2</v>
      </c>
      <c r="K2" s="22"/>
    </row>
    <row r="3" spans="1:12" ht="30" customHeight="1">
      <c r="A3" s="12"/>
      <c r="C3" s="41">
        <f>IF(DAY(OutDom1)=1,OutDom1-6,OutDom1+1)</f>
        <v>45928</v>
      </c>
      <c r="D3" s="41">
        <f>IF(DAY(OutDom1)=1,OutDom1-5,OutDom1+2)</f>
        <v>45929</v>
      </c>
      <c r="E3" s="41">
        <f>IF(DAY(OutDom1)=1,OutDom1-4,OutDom1+3)</f>
        <v>45930</v>
      </c>
      <c r="F3" s="41">
        <f>IF(DAY(OutDom1)=1,OutDom1-3,OutDom1+4)</f>
        <v>45931</v>
      </c>
      <c r="G3" s="41">
        <f>IF(DAY(OutDom1)=1,OutDom1-2,OutDom1+5)</f>
        <v>45932</v>
      </c>
      <c r="H3" s="41">
        <f>IF(DAY(OutDom1)=1,OutDom1-1,OutDom1+6)</f>
        <v>45933</v>
      </c>
      <c r="I3" s="41">
        <f>IF(DAY(OutDom1)=1,OutDom1,OutDom1+7)</f>
        <v>45934</v>
      </c>
      <c r="J3" s="9"/>
      <c r="K3" s="2"/>
    </row>
    <row r="4" spans="1:12" ht="30" customHeight="1">
      <c r="A4" s="12"/>
      <c r="C4" s="41">
        <f>IF(DAY(OutDom1)=1,OutDom1+1,OutDom1+8)</f>
        <v>45935</v>
      </c>
      <c r="D4" s="41">
        <f>IF(DAY(OutDom1)=1,OutDom1+2,OutDom1+9)</f>
        <v>45936</v>
      </c>
      <c r="E4" s="41">
        <f>IF(DAY(OutDom1)=1,OutDom1+3,OutDom1+10)</f>
        <v>45937</v>
      </c>
      <c r="F4" s="41">
        <f>IF(DAY(OutDom1)=1,OutDom1+4,OutDom1+11)</f>
        <v>45938</v>
      </c>
      <c r="G4" s="41">
        <f>IF(DAY(OutDom1)=1,OutDom1+5,OutDom1+12)</f>
        <v>45939</v>
      </c>
      <c r="H4" s="41">
        <f>IF(DAY(OutDom1)=1,OutDom1+6,OutDom1+13)</f>
        <v>45940</v>
      </c>
      <c r="I4" s="41">
        <f>IF(DAY(OutDom1)=1,OutDom1+7,OutDom1+14)</f>
        <v>45941</v>
      </c>
      <c r="J4" s="9"/>
      <c r="K4" s="2"/>
    </row>
    <row r="5" spans="1:12" ht="30" customHeight="1">
      <c r="A5" s="12"/>
      <c r="C5" s="41">
        <f>IF(DAY(OutDom1)=1,OutDom1+8,OutDom1+15)</f>
        <v>45942</v>
      </c>
      <c r="D5" s="41">
        <f>IF(DAY(OutDom1)=1,OutDom1+9,OutDom1+16)</f>
        <v>45943</v>
      </c>
      <c r="E5" s="41">
        <f>IF(DAY(OutDom1)=1,OutDom1+10,OutDom1+17)</f>
        <v>45944</v>
      </c>
      <c r="F5" s="41">
        <f>IF(DAY(OutDom1)=1,OutDom1+11,OutDom1+18)</f>
        <v>45945</v>
      </c>
      <c r="G5" s="41">
        <f>IF(DAY(OutDom1)=1,OutDom1+12,OutDom1+19)</f>
        <v>45946</v>
      </c>
      <c r="H5" s="41">
        <f>IF(DAY(OutDom1)=1,OutDom1+13,OutDom1+20)</f>
        <v>45947</v>
      </c>
      <c r="I5" s="41">
        <f>IF(DAY(OutDom1)=1,OutDom1+14,OutDom1+21)</f>
        <v>45948</v>
      </c>
      <c r="J5" s="9"/>
      <c r="K5" s="2"/>
    </row>
    <row r="6" spans="1:12" ht="30" customHeight="1">
      <c r="A6" s="12"/>
      <c r="C6" s="41">
        <f>IF(DAY(OutDom1)=1,OutDom1+15,OutDom1+22)</f>
        <v>45949</v>
      </c>
      <c r="D6" s="41">
        <f>IF(DAY(OutDom1)=1,OutDom1+16,OutDom1+23)</f>
        <v>45950</v>
      </c>
      <c r="E6" s="41">
        <f>IF(DAY(OutDom1)=1,OutDom1+17,OutDom1+24)</f>
        <v>45951</v>
      </c>
      <c r="F6" s="41">
        <f>IF(DAY(OutDom1)=1,OutDom1+18,OutDom1+25)</f>
        <v>45952</v>
      </c>
      <c r="G6" s="41">
        <f>IF(DAY(OutDom1)=1,OutDom1+19,OutDom1+26)</f>
        <v>45953</v>
      </c>
      <c r="H6" s="41">
        <f>IF(DAY(OutDom1)=1,OutDom1+20,OutDom1+27)</f>
        <v>45954</v>
      </c>
      <c r="I6" s="41">
        <f>IF(DAY(OutDom1)=1,OutDom1+21,OutDom1+28)</f>
        <v>45955</v>
      </c>
      <c r="J6" s="9"/>
      <c r="K6" s="2"/>
    </row>
    <row r="7" spans="1:12" ht="30" customHeight="1">
      <c r="A7" s="12"/>
      <c r="C7" s="41">
        <f>IF(DAY(OutDom1)=1,OutDom1+22,OutDom1+29)</f>
        <v>45956</v>
      </c>
      <c r="D7" s="41">
        <f>IF(DAY(OutDom1)=1,OutDom1+23,OutDom1+30)</f>
        <v>45957</v>
      </c>
      <c r="E7" s="41">
        <f>IF(DAY(OutDom1)=1,OutDom1+24,OutDom1+31)</f>
        <v>45958</v>
      </c>
      <c r="F7" s="41">
        <f>IF(DAY(OutDom1)=1,OutDom1+25,OutDom1+32)</f>
        <v>45959</v>
      </c>
      <c r="G7" s="41">
        <f>IF(DAY(OutDom1)=1,OutDom1+26,OutDom1+33)</f>
        <v>45960</v>
      </c>
      <c r="H7" s="41">
        <f>IF(DAY(OutDom1)=1,OutDom1+27,OutDom1+34)</f>
        <v>45961</v>
      </c>
      <c r="I7" s="41">
        <f>IF(DAY(OutDom1)=1,OutDom1+28,OutDom1+35)</f>
        <v>45962</v>
      </c>
      <c r="J7" s="1"/>
      <c r="K7" s="23"/>
      <c r="L7" s="18"/>
    </row>
    <row r="8" spans="1:12" ht="30" customHeight="1">
      <c r="A8" s="12"/>
      <c r="B8" s="17"/>
      <c r="C8" s="41">
        <f>IF(DAY(OutDom1)=1,OutDom1+29,OutDom1+36)</f>
        <v>45963</v>
      </c>
      <c r="D8" s="41">
        <f>IF(DAY(OutDom1)=1,OutDom1+30,OutDom1+37)</f>
        <v>45964</v>
      </c>
      <c r="E8" s="41">
        <f>IF(DAY(OutDom1)=1,OutDom1+31,OutDom1+38)</f>
        <v>45965</v>
      </c>
      <c r="F8" s="41">
        <f>IF(DAY(OutDom1)=1,OutDom1+32,OutDom1+39)</f>
        <v>45966</v>
      </c>
      <c r="G8" s="41">
        <f>IF(DAY(OutDom1)=1,OutDom1+33,OutDom1+40)</f>
        <v>45967</v>
      </c>
      <c r="H8" s="41">
        <f>IF(DAY(OutDom1)=1,OutDom1+34,OutDom1+41)</f>
        <v>45968</v>
      </c>
      <c r="I8" s="41">
        <f>IF(DAY(OutDom1)=1,OutDom1+35,OutDom1+42)</f>
        <v>45969</v>
      </c>
      <c r="J8" s="9" t="s">
        <v>16</v>
      </c>
      <c r="K8" s="22"/>
    </row>
    <row r="9" spans="1:12" ht="30" customHeight="1">
      <c r="A9" s="12"/>
      <c r="C9" s="4"/>
      <c r="D9" s="4"/>
      <c r="E9" s="4"/>
      <c r="F9" s="4"/>
      <c r="G9" s="4"/>
      <c r="H9" s="4"/>
      <c r="I9" s="4"/>
      <c r="J9" s="9"/>
      <c r="K9" s="2"/>
    </row>
    <row r="10" spans="1:12" ht="30" customHeight="1">
      <c r="A10" s="12"/>
      <c r="B10" s="16" t="s">
        <v>1</v>
      </c>
      <c r="C10" s="8"/>
      <c r="D10" s="8"/>
      <c r="E10" s="8"/>
      <c r="F10" s="8"/>
      <c r="G10" s="8"/>
      <c r="H10" s="8"/>
      <c r="I10" s="8"/>
      <c r="J10" s="9"/>
      <c r="K10" s="2"/>
    </row>
    <row r="11" spans="1:12" ht="30" customHeight="1">
      <c r="A11" s="25"/>
      <c r="B11" s="13" t="s">
        <v>2</v>
      </c>
      <c r="C11" s="51" t="s">
        <v>11</v>
      </c>
      <c r="D11" s="52"/>
      <c r="E11" s="51" t="s">
        <v>17</v>
      </c>
      <c r="F11" s="52"/>
      <c r="G11" s="51" t="s">
        <v>19</v>
      </c>
      <c r="H11" s="52"/>
      <c r="I11" s="3" t="s">
        <v>20</v>
      </c>
      <c r="J11" s="9"/>
      <c r="K11" s="2"/>
    </row>
    <row r="12" spans="1:12" ht="30" customHeight="1">
      <c r="A12" s="25"/>
      <c r="B12" s="44" t="s">
        <v>3</v>
      </c>
      <c r="C12" s="56"/>
      <c r="D12" s="56"/>
      <c r="E12" s="56" t="s">
        <v>3</v>
      </c>
      <c r="F12" s="56"/>
      <c r="G12" s="56"/>
      <c r="H12" s="56"/>
      <c r="I12" s="46" t="s">
        <v>3</v>
      </c>
      <c r="J12" s="9"/>
      <c r="K12" s="2"/>
    </row>
    <row r="13" spans="1:12" ht="30" customHeight="1">
      <c r="A13" s="25"/>
      <c r="B13" s="26" t="s">
        <v>4</v>
      </c>
      <c r="C13" s="54"/>
      <c r="D13" s="54"/>
      <c r="E13" s="54" t="s">
        <v>4</v>
      </c>
      <c r="F13" s="54"/>
      <c r="G13" s="54"/>
      <c r="H13" s="54"/>
      <c r="I13" s="31" t="s">
        <v>4</v>
      </c>
      <c r="J13" s="1"/>
      <c r="K13" s="23"/>
      <c r="L13" s="18"/>
    </row>
    <row r="14" spans="1:12" ht="30" customHeight="1">
      <c r="A14" s="25"/>
      <c r="B14" s="44"/>
      <c r="C14" s="56" t="s">
        <v>12</v>
      </c>
      <c r="D14" s="56"/>
      <c r="E14" s="56"/>
      <c r="F14" s="56"/>
      <c r="G14" s="56" t="s">
        <v>12</v>
      </c>
      <c r="H14" s="56"/>
      <c r="I14" s="46"/>
      <c r="J14" s="9" t="s">
        <v>17</v>
      </c>
      <c r="K14" s="22"/>
    </row>
    <row r="15" spans="1:12" ht="30" customHeight="1">
      <c r="A15" s="25"/>
      <c r="B15" s="26"/>
      <c r="C15" s="54" t="s">
        <v>13</v>
      </c>
      <c r="D15" s="54"/>
      <c r="E15" s="54"/>
      <c r="F15" s="54"/>
      <c r="G15" s="54" t="s">
        <v>13</v>
      </c>
      <c r="H15" s="54"/>
      <c r="I15" s="31"/>
      <c r="J15" s="9"/>
      <c r="K15" s="2"/>
    </row>
    <row r="16" spans="1:12" ht="30" customHeight="1">
      <c r="A16" s="25"/>
      <c r="B16" s="44" t="s">
        <v>5</v>
      </c>
      <c r="C16" s="56"/>
      <c r="D16" s="56"/>
      <c r="E16" s="56" t="s">
        <v>5</v>
      </c>
      <c r="F16" s="56"/>
      <c r="G16" s="56"/>
      <c r="H16" s="56"/>
      <c r="I16" s="47" t="s">
        <v>5</v>
      </c>
      <c r="J16" s="9"/>
      <c r="K16" s="2"/>
    </row>
    <row r="17" spans="1:12" ht="30" customHeight="1">
      <c r="A17" s="25"/>
      <c r="B17" s="26" t="s">
        <v>6</v>
      </c>
      <c r="C17" s="54"/>
      <c r="D17" s="54"/>
      <c r="E17" s="54" t="s">
        <v>6</v>
      </c>
      <c r="F17" s="54"/>
      <c r="G17" s="54"/>
      <c r="H17" s="54"/>
      <c r="I17" s="31" t="s">
        <v>6</v>
      </c>
      <c r="J17" s="9"/>
      <c r="K17" s="2"/>
    </row>
    <row r="18" spans="1:12" ht="30" customHeight="1">
      <c r="A18" s="25"/>
      <c r="B18" s="44"/>
      <c r="C18" s="56"/>
      <c r="D18" s="56"/>
      <c r="E18" s="56"/>
      <c r="F18" s="56"/>
      <c r="G18" s="56"/>
      <c r="H18" s="56"/>
      <c r="I18" s="46"/>
      <c r="J18" s="9"/>
      <c r="K18" s="2"/>
    </row>
    <row r="19" spans="1:12" ht="30" customHeight="1">
      <c r="A19" s="25"/>
      <c r="B19" s="26"/>
      <c r="C19" s="54"/>
      <c r="D19" s="54"/>
      <c r="E19" s="54"/>
      <c r="F19" s="54"/>
      <c r="G19" s="54"/>
      <c r="H19" s="54"/>
      <c r="I19" s="32"/>
      <c r="J19" s="1"/>
      <c r="K19" s="23"/>
      <c r="L19" s="24"/>
    </row>
    <row r="20" spans="1:12" ht="30" customHeight="1">
      <c r="A20" s="25"/>
      <c r="B20" s="44"/>
      <c r="C20" s="56"/>
      <c r="D20" s="56"/>
      <c r="E20" s="56"/>
      <c r="F20" s="56"/>
      <c r="G20" s="56"/>
      <c r="H20" s="56"/>
      <c r="I20" s="46"/>
      <c r="J20" s="9" t="s">
        <v>18</v>
      </c>
      <c r="K20" s="22"/>
    </row>
    <row r="21" spans="1:12" ht="30" customHeight="1">
      <c r="A21" s="25"/>
      <c r="B21" s="26"/>
      <c r="C21" s="54"/>
      <c r="D21" s="54"/>
      <c r="E21" s="54"/>
      <c r="F21" s="54"/>
      <c r="G21" s="54"/>
      <c r="H21" s="54"/>
      <c r="I21" s="31"/>
      <c r="J21" s="9"/>
      <c r="K21" s="2"/>
    </row>
    <row r="22" spans="1:12" ht="30" customHeight="1">
      <c r="A22" s="25"/>
      <c r="B22" s="44"/>
      <c r="C22" s="56"/>
      <c r="D22" s="56"/>
      <c r="E22" s="56"/>
      <c r="F22" s="56"/>
      <c r="G22" s="56"/>
      <c r="H22" s="56"/>
      <c r="I22" s="46"/>
      <c r="J22" s="9"/>
      <c r="K22" s="2"/>
    </row>
    <row r="23" spans="1:12" ht="30" customHeight="1">
      <c r="A23" s="25"/>
      <c r="B23" s="26"/>
      <c r="C23" s="54"/>
      <c r="D23" s="54"/>
      <c r="E23" s="54"/>
      <c r="F23" s="54"/>
      <c r="G23" s="54"/>
      <c r="H23" s="54"/>
      <c r="I23" s="31"/>
      <c r="J23" s="9"/>
      <c r="K23" s="2"/>
    </row>
    <row r="24" spans="1:12" ht="30" customHeight="1">
      <c r="A24" s="25"/>
      <c r="B24" s="44" t="s">
        <v>7</v>
      </c>
      <c r="C24" s="56"/>
      <c r="D24" s="56"/>
      <c r="E24" s="56" t="s">
        <v>7</v>
      </c>
      <c r="F24" s="56"/>
      <c r="G24" s="56"/>
      <c r="H24" s="56"/>
      <c r="I24" s="46" t="s">
        <v>7</v>
      </c>
      <c r="J24" s="9"/>
      <c r="K24" s="2"/>
    </row>
    <row r="25" spans="1:12" ht="30" customHeight="1">
      <c r="A25" s="25"/>
      <c r="B25" s="26" t="s">
        <v>8</v>
      </c>
      <c r="C25" s="54"/>
      <c r="D25" s="54"/>
      <c r="E25" s="54" t="s">
        <v>8</v>
      </c>
      <c r="F25" s="54"/>
      <c r="G25" s="54"/>
      <c r="H25" s="54"/>
      <c r="I25" s="31" t="s">
        <v>8</v>
      </c>
      <c r="J25" s="1"/>
      <c r="K25" s="23"/>
      <c r="L25" s="24"/>
    </row>
    <row r="26" spans="1:12" ht="30" customHeight="1">
      <c r="A26" s="25"/>
      <c r="B26" s="44"/>
      <c r="C26" s="56"/>
      <c r="D26" s="56"/>
      <c r="E26" s="56"/>
      <c r="F26" s="56"/>
      <c r="G26" s="56"/>
      <c r="H26" s="56"/>
      <c r="I26" s="46"/>
      <c r="J26" s="9" t="s">
        <v>20</v>
      </c>
      <c r="K26" s="22"/>
    </row>
    <row r="27" spans="1:12" ht="30" customHeight="1">
      <c r="A27" s="25"/>
      <c r="B27" s="26"/>
      <c r="C27" s="54"/>
      <c r="D27" s="54"/>
      <c r="E27" s="54"/>
      <c r="F27" s="54"/>
      <c r="G27" s="54"/>
      <c r="H27" s="54"/>
      <c r="I27" s="31"/>
      <c r="J27" s="9"/>
      <c r="K27" s="2"/>
    </row>
    <row r="28" spans="1:12" ht="30" customHeight="1">
      <c r="A28" s="25"/>
      <c r="B28" s="44"/>
      <c r="C28" s="56" t="s">
        <v>14</v>
      </c>
      <c r="D28" s="56"/>
      <c r="E28" s="56"/>
      <c r="F28" s="56"/>
      <c r="G28" s="56" t="s">
        <v>14</v>
      </c>
      <c r="H28" s="56"/>
      <c r="I28" s="46"/>
      <c r="J28" s="9"/>
      <c r="K28" s="2"/>
    </row>
    <row r="29" spans="1:12" ht="30" customHeight="1">
      <c r="A29" s="25"/>
      <c r="B29" s="26"/>
      <c r="C29" s="54" t="s">
        <v>15</v>
      </c>
      <c r="D29" s="54"/>
      <c r="E29" s="54"/>
      <c r="F29" s="54"/>
      <c r="G29" s="54" t="s">
        <v>15</v>
      </c>
      <c r="H29" s="54"/>
      <c r="I29" s="31"/>
      <c r="J29" s="9"/>
      <c r="K29" s="2"/>
    </row>
    <row r="30" spans="1:12" ht="30" customHeight="1">
      <c r="A30" s="25"/>
      <c r="B30" s="44"/>
      <c r="C30" s="56"/>
      <c r="D30" s="56"/>
      <c r="E30" s="56"/>
      <c r="F30" s="56"/>
      <c r="G30" s="56"/>
      <c r="H30" s="56"/>
      <c r="I30" s="46"/>
      <c r="J30" s="9"/>
      <c r="K30" s="2"/>
    </row>
    <row r="31" spans="1:12" ht="30" customHeight="1">
      <c r="A31" s="25"/>
      <c r="B31" s="29"/>
      <c r="C31" s="55"/>
      <c r="D31" s="55"/>
      <c r="E31" s="55"/>
      <c r="F31" s="55"/>
      <c r="G31" s="55"/>
      <c r="H31" s="55"/>
      <c r="I31" s="30"/>
      <c r="J31" s="9"/>
      <c r="K31" s="19"/>
    </row>
  </sheetData>
  <mergeCells count="63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</mergeCells>
  <conditionalFormatting sqref="B12:I12 B14:I14 B16:I16 B18:I18 B20:I20 B22:I22 B24:I24 B26:I26 B28:I28 B30:I30">
    <cfRule type="expression" dxfId="28" priority="5">
      <formula>B12&lt;&gt;""</formula>
    </cfRule>
  </conditionalFormatting>
  <conditionalFormatting sqref="B12:I31">
    <cfRule type="expression" dxfId="27" priority="1">
      <formula>COLUMN(B12)&gt;2</formula>
    </cfRule>
  </conditionalFormatting>
  <conditionalFormatting sqref="B13:I13 B15:I15 B17:I17 B19:I19 B21:I21 B23:I23 B25:I25 B27:I27 B29:I29 B31:I31">
    <cfRule type="expression" dxfId="26" priority="6">
      <formula>B13&lt;&gt;""</formula>
    </cfRule>
  </conditionalFormatting>
  <conditionalFormatting sqref="B13:I13 B15:I15 B17:I17 B19:I19 B21:I21 B23:I23 B25:I25 B27:I27 B29:I29">
    <cfRule type="expression" dxfId="25" priority="2">
      <formula>COLUMN(B13)&gt;=2</formula>
    </cfRule>
    <cfRule type="expression" dxfId="24" priority="4">
      <formula>COLUMN(B11)&gt;2</formula>
    </cfRule>
  </conditionalFormatting>
  <conditionalFormatting sqref="B31:I31">
    <cfRule type="expression" dxfId="23" priority="3">
      <formula>COLUMN(B12)&gt;2</formula>
    </cfRule>
  </conditionalFormatting>
  <conditionalFormatting sqref="C3:H3">
    <cfRule type="expression" dxfId="22" priority="8" stopIfTrue="1">
      <formula>DAY(C3)&gt;8</formula>
    </cfRule>
  </conditionalFormatting>
  <conditionalFormatting sqref="C3:I8">
    <cfRule type="expression" dxfId="21" priority="9">
      <formula>VLOOKUP(DAY(C3),DiasTarefa,1,FALSE)=DAY(C3)</formula>
    </cfRule>
  </conditionalFormatting>
  <conditionalFormatting sqref="C7:I8">
    <cfRule type="expression" dxfId="20" priority="7" stopIfTrue="1">
      <formula>AND(DAY(C7)&gt;=1,DAY(C7)&lt;=15)</formula>
    </cfRule>
  </conditionalFormatting>
  <dataValidations count="16">
    <dataValidation allowBlank="1" showInputMessage="1" showErrorMessage="1" prompt="O calendário de outubro destaca automaticamente as entradas da lista de tarefas para o mês. As fontes mais escuras são tarefas. As fontes mais claras são os dias que pertencem ao mês anterior ou seguinte" sqref="B2" xr:uid="{00000000-0002-0000-0900-000000000000}"/>
    <dataValidation allowBlank="1" showInputMessage="1" showErrorMessage="1" prompt="Ano civil atualizado automaticamente. Para alterar o ano, atualize a célula B1 na planilha de janeiro" sqref="B1" xr:uid="{00000000-0002-0000-0900-000001000000}"/>
    <dataValidation allowBlank="1" showInputMessage="1" showErrorMessage="1" prompt="Prepare um cronograma semanal e crie uma lista de tarefas nesta planilha. As tarefas são destacadas automaticamente no calendário mensal para o ano inserido em B1 na planilha de janeiro" sqref="A1" xr:uid="{00000000-0002-0000-0900-000002000000}"/>
    <dataValidation allowBlank="1" showInputMessage="1" showErrorMessage="1" prompt="Células C2:I2 contêm dias da semana" sqref="C2:D2" xr:uid="{76AEFEC4-FE5D-4695-929C-073E5FA94BEB}"/>
    <dataValidation allowBlank="1" showInputMessage="1" showErrorMessage="1" prompt="Se esta célula não contiver o número 1, será um dia de um mês anterior. Células C3:I8 contêm datas para o mês atual" sqref="C3" xr:uid="{00000000-0002-0000-0900-000004000000}"/>
    <dataValidation allowBlank="1" showInputMessage="1" showErrorMessage="1" prompt="Se esta linha contiver um número menor que o número ou a linha de números anterior, ela conterá datas para o próximo mês do calendário" sqref="C8" xr:uid="{00000000-0002-0000-0900-000005000000}"/>
    <dataValidation allowBlank="1" showInputMessage="1" showErrorMessage="1" prompt="Insira o horário nesta linha das colunas B a I" sqref="B12" xr:uid="{00000000-0002-0000-0900-000006000000}"/>
    <dataValidation allowBlank="1" showInputMessage="1" showErrorMessage="1" prompt="Insira a aula nesta linha das colunas B a I" sqref="B13" xr:uid="{00000000-0002-0000-0900-000007000000}"/>
    <dataValidation allowBlank="1" showInputMessage="1" showErrorMessage="1" prompt="Os dias da semana são agrupados nesta coluna, com 6 linhas para as tarefas de cada dia da semana do mês agrupado. Insira novas linhas para adicionar mais tarefas. O calendário à esquerda destacará os itens" sqref="J1" xr:uid="{00000000-0002-0000-0900-000008000000}"/>
    <dataValidation allowBlank="1" showInputMessage="1" showErrorMessage="1" prompt="Insira os detalhes da tarefa nesta coluna, que corresponde ao dia da semana na coluna J e ao dia na coluna K para o mês do calendário à esquerda" sqref="L1" xr:uid="{F55142BF-6CAD-437C-ACF7-BA5EE2D45CE1}"/>
    <dataValidation allowBlank="1" showInputMessage="1" showErrorMessage="1" prompt="Insira o dia do mês da tarefa nesta coluna, que corresponde ao dia da semana na coluna J. Essa data destacará a tarefa no calendário à esquerda" sqref="K1" xr:uid="{00000000-0002-0000-0900-00000A000000}"/>
    <dataValidation allowBlank="1" showInputMessage="1" showErrorMessage="1" prompt="Os dias da semana estão nesta linha, de segunda a sexta" sqref="B11" xr:uid="{00000000-0002-0000-0900-00000B000000}"/>
    <dataValidation allowBlank="1" showInputMessage="1" showErrorMessage="1" prompt="Insira o horário da aula e, abaixo, em uma nova linha, o nome da aula para cada dia da semana nas colunas de B a I. Repita esse padrão para todas as aulas nas linhas subsequentes" sqref="B10" xr:uid="{00000000-0002-0000-0900-00000C000000}"/>
    <dataValidation allowBlank="1" showInputMessage="1" showErrorMessage="1" prompt="O nome da aula vai nessa linha, começando na célula à direita" sqref="A13 A15 A17 A19 A21 A23 A25 A27 A29 A31" xr:uid="{18291D5D-D9B3-4C58-AC0E-46F02C1523D7}"/>
    <dataValidation allowBlank="1" showInputMessage="1" showErrorMessage="1" prompt="O horário da aula vai nessa linha,começando na célula à direita_x000a_" sqref="A12 A14 A16 A18 A20 A22 A24 A26 A28 A30" xr:uid="{88CD2A0E-5409-46AC-A773-96BEE00759F1}"/>
    <dataValidation allowBlank="1" showInputMessage="1" showErrorMessage="1" prompt="O dia da semana vai nessa linha, começando na célula B11" sqref="A11" xr:uid="{8FB09B96-784A-4CCF-BF1B-357A8D54AB75}"/>
  </dataValidations>
  <printOptions horizontalCentered="1" verticalCentered="1"/>
  <pageMargins left="0.5" right="0.5" top="0.5" bottom="0.5" header="0.3" footer="0.3"/>
  <pageSetup paperSize="9" scale="58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  <pageSetUpPr fitToPage="1"/>
  </sheetPr>
  <dimension ref="A1:L31"/>
  <sheetViews>
    <sheetView showGridLines="0" zoomScaleNormal="100" zoomScalePageLayoutView="84" workbookViewId="0">
      <selection activeCell="L1" sqref="L1"/>
    </sheetView>
  </sheetViews>
  <sheetFormatPr defaultColWidth="8.625" defaultRowHeight="30" customHeight="1"/>
  <cols>
    <col min="1" max="1" width="2.625" customWidth="1"/>
    <col min="2" max="2" width="20.625" customWidth="1"/>
    <col min="3" max="8" width="10.625" customWidth="1"/>
    <col min="9" max="9" width="20.625" customWidth="1"/>
    <col min="10" max="11" width="10.625" customWidth="1"/>
    <col min="12" max="12" width="70.625" customWidth="1"/>
    <col min="13" max="13" width="2.625" customWidth="1"/>
  </cols>
  <sheetData>
    <row r="1" spans="1:12" ht="30" customHeight="1">
      <c r="B1" s="11">
        <f>AnoCivil</f>
        <v>2025</v>
      </c>
      <c r="J1" s="20" t="s">
        <v>22</v>
      </c>
      <c r="K1" s="20" t="s">
        <v>23</v>
      </c>
      <c r="L1" s="10" t="s">
        <v>36</v>
      </c>
    </row>
    <row r="2" spans="1:12" ht="30" customHeight="1">
      <c r="A2" s="12"/>
      <c r="B2" s="38" t="s">
        <v>31</v>
      </c>
      <c r="C2" s="6" t="s">
        <v>10</v>
      </c>
      <c r="D2" s="6" t="s">
        <v>2</v>
      </c>
      <c r="E2" s="6" t="s">
        <v>16</v>
      </c>
      <c r="F2" s="6" t="s">
        <v>17</v>
      </c>
      <c r="G2" s="6" t="s">
        <v>18</v>
      </c>
      <c r="H2" s="6" t="s">
        <v>20</v>
      </c>
      <c r="I2" s="6" t="s">
        <v>21</v>
      </c>
      <c r="J2" s="9" t="s">
        <v>2</v>
      </c>
      <c r="K2" s="48"/>
    </row>
    <row r="3" spans="1:12" ht="30" customHeight="1">
      <c r="A3" s="12"/>
      <c r="C3" s="41">
        <f>IF(DAY(NovDom1)=1,NovDom1-6,NovDom1+1)</f>
        <v>45956</v>
      </c>
      <c r="D3" s="41">
        <f>IF(DAY(NovDom1)=1,NovDom1-5,NovDom1+2)</f>
        <v>45957</v>
      </c>
      <c r="E3" s="41">
        <f>IF(DAY(NovDom1)=1,NovDom1-4,NovDom1+3)</f>
        <v>45958</v>
      </c>
      <c r="F3" s="41">
        <f>IF(DAY(NovDom1)=1,NovDom1-3,NovDom1+4)</f>
        <v>45959</v>
      </c>
      <c r="G3" s="41">
        <f>IF(DAY(NovDom1)=1,NovDom1-2,NovDom1+5)</f>
        <v>45960</v>
      </c>
      <c r="H3" s="41">
        <f>IF(DAY(NovDom1)=1,NovDom1-1,NovDom1+6)</f>
        <v>45961</v>
      </c>
      <c r="I3" s="41">
        <f>IF(DAY(NovDom1)=1,NovDom1,NovDom1+7)</f>
        <v>45962</v>
      </c>
      <c r="J3" s="9"/>
      <c r="K3" s="48"/>
    </row>
    <row r="4" spans="1:12" ht="30" customHeight="1">
      <c r="A4" s="12"/>
      <c r="C4" s="41">
        <f>IF(DAY(NovDom1)=1,NovDom1+1,NovDom1+8)</f>
        <v>45963</v>
      </c>
      <c r="D4" s="41">
        <f>IF(DAY(NovDom1)=1,NovDom1+2,NovDom1+9)</f>
        <v>45964</v>
      </c>
      <c r="E4" s="41">
        <f>IF(DAY(NovDom1)=1,NovDom1+3,NovDom1+10)</f>
        <v>45965</v>
      </c>
      <c r="F4" s="41">
        <f>IF(DAY(NovDom1)=1,NovDom1+4,NovDom1+11)</f>
        <v>45966</v>
      </c>
      <c r="G4" s="41">
        <f>IF(DAY(NovDom1)=1,NovDom1+5,NovDom1+12)</f>
        <v>45967</v>
      </c>
      <c r="H4" s="41">
        <f>IF(DAY(NovDom1)=1,NovDom1+6,NovDom1+13)</f>
        <v>45968</v>
      </c>
      <c r="I4" s="41">
        <f>IF(DAY(NovDom1)=1,NovDom1+7,NovDom1+14)</f>
        <v>45969</v>
      </c>
      <c r="J4" s="9"/>
      <c r="K4" s="48"/>
    </row>
    <row r="5" spans="1:12" ht="30" customHeight="1">
      <c r="A5" s="12"/>
      <c r="C5" s="41">
        <f>IF(DAY(NovDom1)=1,NovDom1+8,NovDom1+15)</f>
        <v>45970</v>
      </c>
      <c r="D5" s="41">
        <f>IF(DAY(NovDom1)=1,NovDom1+9,NovDom1+16)</f>
        <v>45971</v>
      </c>
      <c r="E5" s="41">
        <f>IF(DAY(NovDom1)=1,NovDom1+10,NovDom1+17)</f>
        <v>45972</v>
      </c>
      <c r="F5" s="41">
        <f>IF(DAY(NovDom1)=1,NovDom1+11,NovDom1+18)</f>
        <v>45973</v>
      </c>
      <c r="G5" s="41">
        <f>IF(DAY(NovDom1)=1,NovDom1+12,NovDom1+19)</f>
        <v>45974</v>
      </c>
      <c r="H5" s="41">
        <f>IF(DAY(NovDom1)=1,NovDom1+13,NovDom1+20)</f>
        <v>45975</v>
      </c>
      <c r="I5" s="41">
        <f>IF(DAY(NovDom1)=1,NovDom1+14,NovDom1+21)</f>
        <v>45976</v>
      </c>
      <c r="J5" s="9"/>
      <c r="K5" s="48"/>
    </row>
    <row r="6" spans="1:12" ht="30" customHeight="1">
      <c r="A6" s="12"/>
      <c r="C6" s="41">
        <f>IF(DAY(NovDom1)=1,NovDom1+15,NovDom1+22)</f>
        <v>45977</v>
      </c>
      <c r="D6" s="41">
        <f>IF(DAY(NovDom1)=1,NovDom1+16,NovDom1+23)</f>
        <v>45978</v>
      </c>
      <c r="E6" s="41">
        <f>IF(DAY(NovDom1)=1,NovDom1+17,NovDom1+24)</f>
        <v>45979</v>
      </c>
      <c r="F6" s="41">
        <f>IF(DAY(NovDom1)=1,NovDom1+18,NovDom1+25)</f>
        <v>45980</v>
      </c>
      <c r="G6" s="41">
        <f>IF(DAY(NovDom1)=1,NovDom1+19,NovDom1+26)</f>
        <v>45981</v>
      </c>
      <c r="H6" s="41">
        <f>IF(DAY(NovDom1)=1,NovDom1+20,NovDom1+27)</f>
        <v>45982</v>
      </c>
      <c r="I6" s="41">
        <f>IF(DAY(NovDom1)=1,NovDom1+21,NovDom1+28)</f>
        <v>45983</v>
      </c>
      <c r="J6" s="9"/>
      <c r="K6" s="48"/>
    </row>
    <row r="7" spans="1:12" ht="30" customHeight="1">
      <c r="A7" s="12"/>
      <c r="C7" s="41">
        <f>IF(DAY(NovDom1)=1,NovDom1+22,NovDom1+29)</f>
        <v>45984</v>
      </c>
      <c r="D7" s="41">
        <f>IF(DAY(NovDom1)=1,NovDom1+23,NovDom1+30)</f>
        <v>45985</v>
      </c>
      <c r="E7" s="41">
        <f>IF(DAY(NovDom1)=1,NovDom1+24,NovDom1+31)</f>
        <v>45986</v>
      </c>
      <c r="F7" s="41">
        <f>IF(DAY(NovDom1)=1,NovDom1+25,NovDom1+32)</f>
        <v>45987</v>
      </c>
      <c r="G7" s="41">
        <f>IF(DAY(NovDom1)=1,NovDom1+26,NovDom1+33)</f>
        <v>45988</v>
      </c>
      <c r="H7" s="41">
        <f>IF(DAY(NovDom1)=1,NovDom1+27,NovDom1+34)</f>
        <v>45989</v>
      </c>
      <c r="I7" s="41">
        <f>IF(DAY(NovDom1)=1,NovDom1+28,NovDom1+35)</f>
        <v>45990</v>
      </c>
      <c r="J7" s="1"/>
      <c r="K7" s="49"/>
      <c r="L7" s="18"/>
    </row>
    <row r="8" spans="1:12" ht="30" customHeight="1">
      <c r="A8" s="12"/>
      <c r="B8" s="17"/>
      <c r="C8" s="41">
        <f>IF(DAY(NovDom1)=1,NovDom1+29,NovDom1+36)</f>
        <v>45991</v>
      </c>
      <c r="D8" s="41">
        <f>IF(DAY(NovDom1)=1,NovDom1+30,NovDom1+37)</f>
        <v>45992</v>
      </c>
      <c r="E8" s="41">
        <f>IF(DAY(NovDom1)=1,NovDom1+31,NovDom1+38)</f>
        <v>45993</v>
      </c>
      <c r="F8" s="41">
        <f>IF(DAY(NovDom1)=1,NovDom1+32,NovDom1+39)</f>
        <v>45994</v>
      </c>
      <c r="G8" s="41">
        <f>IF(DAY(NovDom1)=1,NovDom1+33,NovDom1+40)</f>
        <v>45995</v>
      </c>
      <c r="H8" s="41">
        <f>IF(DAY(NovDom1)=1,NovDom1+34,NovDom1+41)</f>
        <v>45996</v>
      </c>
      <c r="I8" s="41">
        <f>IF(DAY(NovDom1)=1,NovDom1+35,NovDom1+42)</f>
        <v>45997</v>
      </c>
      <c r="J8" s="9" t="s">
        <v>16</v>
      </c>
      <c r="K8" s="48"/>
    </row>
    <row r="9" spans="1:12" ht="30" customHeight="1">
      <c r="A9" s="12"/>
      <c r="C9" s="4"/>
      <c r="D9" s="4"/>
      <c r="E9" s="4"/>
      <c r="F9" s="4"/>
      <c r="G9" s="4"/>
      <c r="H9" s="4"/>
      <c r="I9" s="4"/>
      <c r="J9" s="9"/>
      <c r="K9" s="48"/>
    </row>
    <row r="10" spans="1:12" ht="30" customHeight="1">
      <c r="A10" s="12"/>
      <c r="B10" s="16" t="s">
        <v>1</v>
      </c>
      <c r="C10" s="8"/>
      <c r="D10" s="8"/>
      <c r="E10" s="8"/>
      <c r="F10" s="8"/>
      <c r="G10" s="8"/>
      <c r="H10" s="8"/>
      <c r="I10" s="8"/>
      <c r="J10" s="9"/>
      <c r="K10" s="48"/>
    </row>
    <row r="11" spans="1:12" ht="30" customHeight="1">
      <c r="A11" s="25"/>
      <c r="B11" s="13" t="s">
        <v>2</v>
      </c>
      <c r="C11" s="51" t="s">
        <v>11</v>
      </c>
      <c r="D11" s="52"/>
      <c r="E11" s="51" t="s">
        <v>17</v>
      </c>
      <c r="F11" s="52"/>
      <c r="G11" s="51" t="s">
        <v>19</v>
      </c>
      <c r="H11" s="52"/>
      <c r="I11" s="3" t="s">
        <v>20</v>
      </c>
      <c r="J11" s="9"/>
      <c r="K11" s="48"/>
    </row>
    <row r="12" spans="1:12" ht="30" customHeight="1">
      <c r="A12" s="25"/>
      <c r="B12" s="44"/>
      <c r="C12" s="53"/>
      <c r="D12" s="53"/>
      <c r="E12" s="53"/>
      <c r="F12" s="53"/>
      <c r="G12" s="53"/>
      <c r="H12" s="53"/>
      <c r="I12" s="46"/>
      <c r="J12" s="9"/>
      <c r="K12" s="48"/>
    </row>
    <row r="13" spans="1:12" ht="30" customHeight="1">
      <c r="A13" s="25"/>
      <c r="B13" s="26"/>
      <c r="C13" s="54"/>
      <c r="D13" s="54"/>
      <c r="E13" s="54"/>
      <c r="F13" s="54"/>
      <c r="G13" s="54"/>
      <c r="H13" s="54"/>
      <c r="I13" s="31"/>
      <c r="J13" s="1"/>
      <c r="K13" s="49"/>
      <c r="L13" s="18"/>
    </row>
    <row r="14" spans="1:12" ht="30" customHeight="1">
      <c r="A14" s="25"/>
      <c r="B14" s="44"/>
      <c r="C14" s="53"/>
      <c r="D14" s="53"/>
      <c r="E14" s="53"/>
      <c r="F14" s="53"/>
      <c r="G14" s="53"/>
      <c r="H14" s="53"/>
      <c r="I14" s="46"/>
      <c r="J14" s="9" t="s">
        <v>17</v>
      </c>
      <c r="K14" s="48"/>
    </row>
    <row r="15" spans="1:12" ht="30" customHeight="1">
      <c r="A15" s="25"/>
      <c r="B15" s="26"/>
      <c r="C15" s="54"/>
      <c r="D15" s="54"/>
      <c r="E15" s="54"/>
      <c r="F15" s="54"/>
      <c r="G15" s="54"/>
      <c r="H15" s="54"/>
      <c r="I15" s="31"/>
      <c r="J15" s="9"/>
      <c r="K15" s="48"/>
    </row>
    <row r="16" spans="1:12" ht="30" customHeight="1">
      <c r="A16" s="25"/>
      <c r="B16" s="44"/>
      <c r="C16" s="53"/>
      <c r="D16" s="53"/>
      <c r="E16" s="53"/>
      <c r="F16" s="53"/>
      <c r="G16" s="53"/>
      <c r="H16" s="53"/>
      <c r="I16" s="47"/>
      <c r="J16" s="9"/>
      <c r="K16" s="48"/>
    </row>
    <row r="17" spans="1:12" ht="30" customHeight="1">
      <c r="A17" s="25"/>
      <c r="B17" s="26"/>
      <c r="C17" s="54"/>
      <c r="D17" s="54"/>
      <c r="E17" s="54"/>
      <c r="F17" s="54"/>
      <c r="G17" s="54"/>
      <c r="H17" s="54"/>
      <c r="I17" s="31"/>
      <c r="J17" s="9"/>
      <c r="K17" s="48"/>
    </row>
    <row r="18" spans="1:12" ht="30" customHeight="1">
      <c r="A18" s="25"/>
      <c r="B18" s="44"/>
      <c r="C18" s="53"/>
      <c r="D18" s="53"/>
      <c r="E18" s="53"/>
      <c r="F18" s="53"/>
      <c r="G18" s="53"/>
      <c r="H18" s="53"/>
      <c r="I18" s="46"/>
      <c r="J18" s="9"/>
      <c r="K18" s="48"/>
    </row>
    <row r="19" spans="1:12" ht="30" customHeight="1">
      <c r="A19" s="25"/>
      <c r="B19" s="26"/>
      <c r="C19" s="54"/>
      <c r="D19" s="54"/>
      <c r="E19" s="54"/>
      <c r="F19" s="54"/>
      <c r="G19" s="54"/>
      <c r="H19" s="54"/>
      <c r="I19" s="32"/>
      <c r="J19" s="1"/>
      <c r="K19" s="49"/>
      <c r="L19" s="24"/>
    </row>
    <row r="20" spans="1:12" ht="30" customHeight="1">
      <c r="A20" s="25"/>
      <c r="B20" s="44"/>
      <c r="C20" s="53"/>
      <c r="D20" s="53"/>
      <c r="E20" s="53"/>
      <c r="F20" s="53"/>
      <c r="G20" s="53"/>
      <c r="H20" s="53"/>
      <c r="I20" s="46"/>
      <c r="J20" s="9" t="s">
        <v>18</v>
      </c>
      <c r="K20" s="48"/>
    </row>
    <row r="21" spans="1:12" ht="30" customHeight="1">
      <c r="A21" s="25"/>
      <c r="B21" s="26"/>
      <c r="C21" s="54"/>
      <c r="D21" s="54"/>
      <c r="E21" s="54"/>
      <c r="F21" s="54"/>
      <c r="G21" s="54"/>
      <c r="H21" s="54"/>
      <c r="I21" s="31"/>
      <c r="J21" s="9"/>
      <c r="K21" s="48"/>
    </row>
    <row r="22" spans="1:12" ht="30" customHeight="1">
      <c r="A22" s="25"/>
      <c r="B22" s="44"/>
      <c r="C22" s="53"/>
      <c r="D22" s="53"/>
      <c r="E22" s="53"/>
      <c r="F22" s="53"/>
      <c r="G22" s="53"/>
      <c r="H22" s="53"/>
      <c r="I22" s="46"/>
      <c r="J22" s="9"/>
      <c r="K22" s="48"/>
    </row>
    <row r="23" spans="1:12" ht="30" customHeight="1">
      <c r="A23" s="25"/>
      <c r="B23" s="26"/>
      <c r="C23" s="54"/>
      <c r="D23" s="54"/>
      <c r="E23" s="54"/>
      <c r="F23" s="54"/>
      <c r="G23" s="54"/>
      <c r="H23" s="54"/>
      <c r="I23" s="31"/>
      <c r="J23" s="9"/>
      <c r="K23" s="48"/>
    </row>
    <row r="24" spans="1:12" ht="30" customHeight="1">
      <c r="A24" s="25"/>
      <c r="B24" s="44"/>
      <c r="C24" s="53"/>
      <c r="D24" s="53"/>
      <c r="E24" s="53"/>
      <c r="F24" s="53"/>
      <c r="G24" s="53"/>
      <c r="H24" s="53"/>
      <c r="I24" s="46"/>
      <c r="J24" s="9"/>
      <c r="K24" s="48"/>
    </row>
    <row r="25" spans="1:12" ht="30" customHeight="1">
      <c r="A25" s="25"/>
      <c r="B25" s="26"/>
      <c r="C25" s="54"/>
      <c r="D25" s="54"/>
      <c r="E25" s="54"/>
      <c r="F25" s="54"/>
      <c r="G25" s="54"/>
      <c r="H25" s="54"/>
      <c r="I25" s="31"/>
      <c r="J25" s="1"/>
      <c r="K25" s="49"/>
      <c r="L25" s="24"/>
    </row>
    <row r="26" spans="1:12" ht="30" customHeight="1">
      <c r="A26" s="25"/>
      <c r="B26" s="44"/>
      <c r="C26" s="53"/>
      <c r="D26" s="53"/>
      <c r="E26" s="53"/>
      <c r="F26" s="53"/>
      <c r="G26" s="53"/>
      <c r="H26" s="53"/>
      <c r="I26" s="46"/>
      <c r="J26" s="9" t="s">
        <v>20</v>
      </c>
      <c r="K26" s="48"/>
    </row>
    <row r="27" spans="1:12" ht="30" customHeight="1">
      <c r="A27" s="25"/>
      <c r="B27" s="26"/>
      <c r="C27" s="54"/>
      <c r="D27" s="54"/>
      <c r="E27" s="54"/>
      <c r="F27" s="54"/>
      <c r="G27" s="54"/>
      <c r="H27" s="54"/>
      <c r="I27" s="31"/>
      <c r="J27" s="9"/>
      <c r="K27" s="48"/>
    </row>
    <row r="28" spans="1:12" ht="30" customHeight="1">
      <c r="A28" s="25"/>
      <c r="B28" s="44"/>
      <c r="C28" s="53"/>
      <c r="D28" s="53"/>
      <c r="E28" s="53"/>
      <c r="F28" s="53"/>
      <c r="G28" s="53"/>
      <c r="H28" s="53"/>
      <c r="I28" s="46"/>
      <c r="J28" s="9"/>
      <c r="K28" s="48"/>
    </row>
    <row r="29" spans="1:12" ht="30" customHeight="1">
      <c r="A29" s="25"/>
      <c r="B29" s="26"/>
      <c r="C29" s="54"/>
      <c r="D29" s="54"/>
      <c r="E29" s="54"/>
      <c r="F29" s="54"/>
      <c r="G29" s="54"/>
      <c r="H29" s="54"/>
      <c r="I29" s="31"/>
      <c r="J29" s="9"/>
      <c r="K29" s="48"/>
    </row>
    <row r="30" spans="1:12" ht="30" customHeight="1">
      <c r="A30" s="25"/>
      <c r="B30" s="44"/>
      <c r="C30" s="53"/>
      <c r="D30" s="53"/>
      <c r="E30" s="53"/>
      <c r="F30" s="53"/>
      <c r="G30" s="53"/>
      <c r="H30" s="53"/>
      <c r="I30" s="46"/>
      <c r="J30" s="9"/>
      <c r="K30" s="48"/>
    </row>
    <row r="31" spans="1:12" ht="30" customHeight="1">
      <c r="A31" s="25"/>
      <c r="B31" s="34"/>
      <c r="C31" s="59"/>
      <c r="D31" s="59"/>
      <c r="E31" s="59"/>
      <c r="F31" s="59"/>
      <c r="G31" s="59"/>
      <c r="H31" s="59"/>
      <c r="I31" s="35"/>
      <c r="J31" s="9"/>
      <c r="K31" s="48"/>
    </row>
  </sheetData>
  <mergeCells count="63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</mergeCells>
  <conditionalFormatting sqref="B12:I12 B14:I14 B16:I16 B18:I18 B20:I20 B22:I22 B24:I24 B26:I26 B28:I28 B30:I30">
    <cfRule type="expression" dxfId="19" priority="3">
      <formula>B12&lt;&gt;""</formula>
    </cfRule>
  </conditionalFormatting>
  <conditionalFormatting sqref="B12:I31">
    <cfRule type="expression" dxfId="18" priority="1">
      <formula>COLUMN(B12)&gt;2</formula>
    </cfRule>
  </conditionalFormatting>
  <conditionalFormatting sqref="B13:I13 B15:I15 B17:I17 B19:I19 B21:I21 B23:I23 B25:I25 B27:I27 B29:I29 B31:I31">
    <cfRule type="expression" dxfId="17" priority="4">
      <formula>B13&lt;&gt;""</formula>
    </cfRule>
  </conditionalFormatting>
  <conditionalFormatting sqref="B13:I13 B15:I15 B17:I17 B19:I19 B21:I21 B23:I23 B25:I25 B27:I27 B29:I29">
    <cfRule type="expression" dxfId="16" priority="2">
      <formula>COLUMN(B13)&gt;=2</formula>
    </cfRule>
  </conditionalFormatting>
  <conditionalFormatting sqref="C3:H3">
    <cfRule type="expression" dxfId="15" priority="6" stopIfTrue="1">
      <formula>DAY(C3)&gt;8</formula>
    </cfRule>
  </conditionalFormatting>
  <conditionalFormatting sqref="C3:I8">
    <cfRule type="expression" dxfId="14" priority="7">
      <formula>VLOOKUP(DAY(C3),DiasTarefa,1,FALSE)=DAY(C3)</formula>
    </cfRule>
  </conditionalFormatting>
  <conditionalFormatting sqref="C7:I8">
    <cfRule type="expression" dxfId="13" priority="5" stopIfTrue="1">
      <formula>AND(DAY(C7)&gt;=1,DAY(C7)&lt;=15)</formula>
    </cfRule>
  </conditionalFormatting>
  <dataValidations xWindow="136" yWindow="382" count="16">
    <dataValidation allowBlank="1" showInputMessage="1" showErrorMessage="1" prompt="Insira a aula nesta linha das colunas B a I" sqref="B13" xr:uid="{00000000-0002-0000-0A00-000000000000}"/>
    <dataValidation allowBlank="1" showInputMessage="1" showErrorMessage="1" prompt="Insira o horário nesta linha das colunas B a I" sqref="B12" xr:uid="{00000000-0002-0000-0A00-000001000000}"/>
    <dataValidation allowBlank="1" showInputMessage="1" showErrorMessage="1" prompt="Se esta linha contiver um número menor que o número ou a linha de números anterior, ela conterá datas para o próximo mês do calendário" sqref="C8" xr:uid="{00000000-0002-0000-0A00-000002000000}"/>
    <dataValidation allowBlank="1" showInputMessage="1" showErrorMessage="1" prompt="Se esta célula não contiver o número 1, será um dia de um mês anterior. Células C3:I8 contêm datas para o mês atual" sqref="C3" xr:uid="{00000000-0002-0000-0A00-000003000000}"/>
    <dataValidation allowBlank="1" showInputMessage="1" showErrorMessage="1" prompt="Células C2:I2 contêm dias da semana" sqref="C2:D2" xr:uid="{724BC634-4524-47A2-840A-A08C10F36E94}"/>
    <dataValidation allowBlank="1" showInputMessage="1" showErrorMessage="1" prompt="Prepare um cronograma semanal e crie uma lista de tarefas nesta planilha. As tarefas são destacadas automaticamente no calendário mensal para o ano inserido em B1 na planilha de janeiro" sqref="A1" xr:uid="{00000000-0002-0000-0A00-000005000000}"/>
    <dataValidation allowBlank="1" showInputMessage="1" showErrorMessage="1" prompt="Ano civil atualizado automaticamente. Para alterar o ano, atualize a célula B1 na planilha de janeiro" sqref="B1" xr:uid="{00000000-0002-0000-0A00-000006000000}"/>
    <dataValidation allowBlank="1" showInputMessage="1" showErrorMessage="1" prompt="O calendário de novembro destaca automaticamente as entradas da lista de tarefas para o mês. As fontes mais escuras são tarefas. As fontes mais claras são os dias que pertencem ao mês anterior ou seguinte" sqref="B2" xr:uid="{00000000-0002-0000-0A00-000007000000}"/>
    <dataValidation allowBlank="1" showInputMessage="1" showErrorMessage="1" prompt="Os dias da semana são agrupados nesta coluna, com 6 linhas para as tarefas de cada dia da semana do mês agrupado. Insira novas linhas para adicionar mais tarefas. O calendário à esquerda destacará os itens" sqref="J1" xr:uid="{00000000-0002-0000-0A00-000008000000}"/>
    <dataValidation allowBlank="1" showInputMessage="1" showErrorMessage="1" prompt="Insira os detalhes da tarefa nesta coluna, que corresponde ao dia da semana na coluna J e ao dia na coluna K para o mês do calendário à esquerda" sqref="L1" xr:uid="{0856BD1C-056D-4EE6-A0D4-5AC0F27D434C}"/>
    <dataValidation allowBlank="1" showInputMessage="1" showErrorMessage="1" prompt="Insira o dia do mês da tarefa nesta coluna, que corresponde ao dia da semana na coluna J. Essa data destacará a tarefa no calendário à esquerda" sqref="K1" xr:uid="{00000000-0002-0000-0A00-00000A000000}"/>
    <dataValidation allowBlank="1" showInputMessage="1" showErrorMessage="1" prompt="Os dias da semana estão nesta linha, de segunda a sexta" sqref="B11" xr:uid="{00000000-0002-0000-0A00-00000B000000}"/>
    <dataValidation allowBlank="1" showInputMessage="1" showErrorMessage="1" prompt="Insira o horário da aula e, abaixo, em uma nova linha, o nome da aula para cada dia da semana nas colunas de B a I. Repita esse padrão para todas as aulas nas linhas subsequentes" sqref="B10" xr:uid="{00000000-0002-0000-0A00-00000C000000}"/>
    <dataValidation allowBlank="1" showInputMessage="1" showErrorMessage="1" prompt="O nome da aula vai nessa linha, começando na célula à direita" sqref="A13 A15 A17 A19 A21 A23 A25 A27 A29 A31" xr:uid="{A4EADA76-19FD-46F7-AF54-199FB313697F}"/>
    <dataValidation allowBlank="1" showInputMessage="1" showErrorMessage="1" prompt="O horário da aula vai nessa linha,começando na célula à direita_x000a_" sqref="A12 A14 A16 A18 A20 A22 A24 A26 A28 A30" xr:uid="{15463A7A-D122-456B-9195-71523A803B5F}"/>
    <dataValidation allowBlank="1" showInputMessage="1" showErrorMessage="1" prompt="O dia da semana vai nessa linha, começando na célula B11" sqref="A11" xr:uid="{FF617D2C-95EA-46B1-9A76-A36F0A9FAF15}"/>
  </dataValidations>
  <printOptions horizontalCentered="1" verticalCentered="1"/>
  <pageMargins left="0.5" right="0.5" top="0.5" bottom="0.5" header="0.3" footer="0.3"/>
  <pageSetup paperSize="9" scale="58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  <pageSetUpPr fitToPage="1"/>
  </sheetPr>
  <dimension ref="A1:L31"/>
  <sheetViews>
    <sheetView showGridLines="0" tabSelected="1" zoomScaleNormal="100" zoomScalePageLayoutView="84" workbookViewId="0">
      <selection activeCell="E27" sqref="E27:F27"/>
    </sheetView>
  </sheetViews>
  <sheetFormatPr defaultColWidth="8.625" defaultRowHeight="30" customHeight="1"/>
  <cols>
    <col min="1" max="1" width="2.625" customWidth="1"/>
    <col min="2" max="2" width="20.625" customWidth="1"/>
    <col min="3" max="8" width="10.625" customWidth="1"/>
    <col min="9" max="9" width="20.625" customWidth="1"/>
    <col min="10" max="11" width="10.625" customWidth="1"/>
    <col min="12" max="12" width="70.625" customWidth="1"/>
    <col min="13" max="13" width="2.625" customWidth="1"/>
  </cols>
  <sheetData>
    <row r="1" spans="1:12" ht="30" customHeight="1">
      <c r="B1" s="11">
        <f>AnoCivil</f>
        <v>2025</v>
      </c>
      <c r="J1" s="20" t="s">
        <v>22</v>
      </c>
      <c r="K1" s="20" t="s">
        <v>23</v>
      </c>
      <c r="L1" s="10" t="s">
        <v>36</v>
      </c>
    </row>
    <row r="2" spans="1:12" ht="30" customHeight="1">
      <c r="A2" s="12"/>
      <c r="B2" s="38" t="s">
        <v>32</v>
      </c>
      <c r="C2" s="6" t="s">
        <v>10</v>
      </c>
      <c r="D2" s="6" t="s">
        <v>2</v>
      </c>
      <c r="E2" s="6" t="s">
        <v>16</v>
      </c>
      <c r="F2" s="6" t="s">
        <v>17</v>
      </c>
      <c r="G2" s="6" t="s">
        <v>18</v>
      </c>
      <c r="H2" s="6" t="s">
        <v>20</v>
      </c>
      <c r="I2" s="6" t="s">
        <v>21</v>
      </c>
      <c r="J2" s="9" t="s">
        <v>2</v>
      </c>
      <c r="K2" s="48"/>
    </row>
    <row r="3" spans="1:12" ht="30" customHeight="1">
      <c r="A3" s="12"/>
      <c r="C3" s="41">
        <f>IF(DAY(DezDom1)=1,DezDom1-6,DezDom1+1)</f>
        <v>45991</v>
      </c>
      <c r="D3" s="41">
        <f>IF(DAY(DezDom1)=1,DezDom1-5,DezDom1+2)</f>
        <v>45992</v>
      </c>
      <c r="E3" s="41">
        <f>IF(DAY(DezDom1)=1,DezDom1-4,DezDom1+3)</f>
        <v>45993</v>
      </c>
      <c r="F3" s="41">
        <f>IF(DAY(DezDom1)=1,DezDom1-3,DezDom1+4)</f>
        <v>45994</v>
      </c>
      <c r="G3" s="41">
        <f>IF(DAY(DezDom1)=1,DezDom1-2,DezDom1+5)</f>
        <v>45995</v>
      </c>
      <c r="H3" s="41">
        <f>IF(DAY(DezDom1)=1,DezDom1-1,DezDom1+6)</f>
        <v>45996</v>
      </c>
      <c r="I3" s="41">
        <f>IF(DAY(DezDom1)=1,DezDom1,DezDom1+7)</f>
        <v>45997</v>
      </c>
      <c r="J3" s="9"/>
      <c r="K3" s="48"/>
    </row>
    <row r="4" spans="1:12" ht="30" customHeight="1">
      <c r="A4" s="12"/>
      <c r="C4" s="41">
        <f>IF(DAY(DezDom1)=1,DezDom1+1,DezDom1+8)</f>
        <v>45998</v>
      </c>
      <c r="D4" s="41">
        <f>IF(DAY(DezDom1)=1,DezDom1+2,DezDom1+9)</f>
        <v>45999</v>
      </c>
      <c r="E4" s="41">
        <f>IF(DAY(DezDom1)=1,DezDom1+3,DezDom1+10)</f>
        <v>46000</v>
      </c>
      <c r="F4" s="41">
        <f>IF(DAY(DezDom1)=1,DezDom1+4,DezDom1+11)</f>
        <v>46001</v>
      </c>
      <c r="G4" s="41">
        <f>IF(DAY(DezDom1)=1,DezDom1+5,DezDom1+12)</f>
        <v>46002</v>
      </c>
      <c r="H4" s="41">
        <f>IF(DAY(DezDom1)=1,DezDom1+6,DezDom1+13)</f>
        <v>46003</v>
      </c>
      <c r="I4" s="41">
        <f>IF(DAY(DezDom1)=1,DezDom1+7,DezDom1+14)</f>
        <v>46004</v>
      </c>
      <c r="J4" s="9"/>
      <c r="K4" s="48"/>
    </row>
    <row r="5" spans="1:12" ht="30" customHeight="1">
      <c r="A5" s="12"/>
      <c r="C5" s="41">
        <f>IF(DAY(DezDom1)=1,DezDom1+8,DezDom1+15)</f>
        <v>46005</v>
      </c>
      <c r="D5" s="41">
        <f>IF(DAY(DezDom1)=1,DezDom1+9,DezDom1+16)</f>
        <v>46006</v>
      </c>
      <c r="E5" s="41">
        <f>IF(DAY(DezDom1)=1,DezDom1+10,DezDom1+17)</f>
        <v>46007</v>
      </c>
      <c r="F5" s="41">
        <f>IF(DAY(DezDom1)=1,DezDom1+11,DezDom1+18)</f>
        <v>46008</v>
      </c>
      <c r="G5" s="41">
        <f>IF(DAY(DezDom1)=1,DezDom1+12,DezDom1+19)</f>
        <v>46009</v>
      </c>
      <c r="H5" s="41">
        <f>IF(DAY(DezDom1)=1,DezDom1+13,DezDom1+20)</f>
        <v>46010</v>
      </c>
      <c r="I5" s="41">
        <f>IF(DAY(DezDom1)=1,DezDom1+14,DezDom1+21)</f>
        <v>46011</v>
      </c>
      <c r="J5" s="9"/>
      <c r="K5" s="48"/>
    </row>
    <row r="6" spans="1:12" ht="30" customHeight="1">
      <c r="A6" s="12"/>
      <c r="C6" s="41">
        <f>IF(DAY(DezDom1)=1,DezDom1+15,DezDom1+22)</f>
        <v>46012</v>
      </c>
      <c r="D6" s="41">
        <f>IF(DAY(DezDom1)=1,DezDom1+16,DezDom1+23)</f>
        <v>46013</v>
      </c>
      <c r="E6" s="41">
        <f>IF(DAY(DezDom1)=1,DezDom1+17,DezDom1+24)</f>
        <v>46014</v>
      </c>
      <c r="F6" s="41">
        <f>IF(DAY(DezDom1)=1,DezDom1+18,DezDom1+25)</f>
        <v>46015</v>
      </c>
      <c r="G6" s="41">
        <f>IF(DAY(DezDom1)=1,DezDom1+19,DezDom1+26)</f>
        <v>46016</v>
      </c>
      <c r="H6" s="41">
        <f>IF(DAY(DezDom1)=1,DezDom1+20,DezDom1+27)</f>
        <v>46017</v>
      </c>
      <c r="I6" s="41">
        <f>IF(DAY(DezDom1)=1,DezDom1+21,DezDom1+28)</f>
        <v>46018</v>
      </c>
      <c r="J6" s="9"/>
      <c r="K6" s="48"/>
    </row>
    <row r="7" spans="1:12" ht="30" customHeight="1">
      <c r="A7" s="12"/>
      <c r="C7" s="41">
        <f>IF(DAY(DezDom1)=1,DezDom1+22,DezDom1+29)</f>
        <v>46019</v>
      </c>
      <c r="D7" s="41">
        <f>IF(DAY(DezDom1)=1,DezDom1+23,DezDom1+30)</f>
        <v>46020</v>
      </c>
      <c r="E7" s="41">
        <f>IF(DAY(DezDom1)=1,DezDom1+24,DezDom1+31)</f>
        <v>46021</v>
      </c>
      <c r="F7" s="41">
        <f>IF(DAY(DezDom1)=1,DezDom1+25,DezDom1+32)</f>
        <v>46022</v>
      </c>
      <c r="G7" s="41">
        <f>IF(DAY(DezDom1)=1,DezDom1+26,DezDom1+33)</f>
        <v>46023</v>
      </c>
      <c r="H7" s="41">
        <f>IF(DAY(DezDom1)=1,DezDom1+27,DezDom1+34)</f>
        <v>46024</v>
      </c>
      <c r="I7" s="41">
        <f>IF(DAY(DezDom1)=1,DezDom1+28,DezDom1+35)</f>
        <v>46025</v>
      </c>
      <c r="J7" s="21"/>
      <c r="K7" s="48"/>
      <c r="L7" s="17"/>
    </row>
    <row r="8" spans="1:12" ht="30" customHeight="1">
      <c r="A8" s="12"/>
      <c r="B8" s="17"/>
      <c r="C8" s="41">
        <f>IF(DAY(DezDom1)=1,DezDom1+29,DezDom1+36)</f>
        <v>46026</v>
      </c>
      <c r="D8" s="41">
        <f>IF(DAY(DezDom1)=1,DezDom1+30,DezDom1+37)</f>
        <v>46027</v>
      </c>
      <c r="E8" s="41">
        <f>IF(DAY(DezDom1)=1,DezDom1+31,DezDom1+38)</f>
        <v>46028</v>
      </c>
      <c r="F8" s="41">
        <f>IF(DAY(DezDom1)=1,DezDom1+32,DezDom1+39)</f>
        <v>46029</v>
      </c>
      <c r="G8" s="41">
        <f>IF(DAY(DezDom1)=1,DezDom1+33,DezDom1+40)</f>
        <v>46030</v>
      </c>
      <c r="H8" s="41">
        <f>IF(DAY(DezDom1)=1,DezDom1+34,DezDom1+41)</f>
        <v>46031</v>
      </c>
      <c r="I8" s="41">
        <f>IF(DAY(DezDom1)=1,DezDom1+35,DezDom1+42)</f>
        <v>46032</v>
      </c>
      <c r="J8" s="9" t="s">
        <v>16</v>
      </c>
      <c r="K8" s="48"/>
    </row>
    <row r="9" spans="1:12" ht="30" customHeight="1">
      <c r="A9" s="12"/>
      <c r="C9" s="4"/>
      <c r="D9" s="4"/>
      <c r="E9" s="4"/>
      <c r="F9" s="4"/>
      <c r="G9" s="4"/>
      <c r="H9" s="4"/>
      <c r="I9" s="4"/>
      <c r="J9" s="9"/>
      <c r="K9" s="48"/>
    </row>
    <row r="10" spans="1:12" ht="30" customHeight="1">
      <c r="A10" s="12"/>
      <c r="B10" s="16" t="s">
        <v>1</v>
      </c>
      <c r="C10" s="8"/>
      <c r="D10" s="8"/>
      <c r="E10" s="8"/>
      <c r="F10" s="8"/>
      <c r="G10" s="8"/>
      <c r="H10" s="8"/>
      <c r="I10" s="8"/>
      <c r="J10" s="9"/>
      <c r="K10" s="48"/>
    </row>
    <row r="11" spans="1:12" ht="30" customHeight="1">
      <c r="A11" s="25"/>
      <c r="B11" s="13" t="s">
        <v>2</v>
      </c>
      <c r="C11" s="51" t="s">
        <v>11</v>
      </c>
      <c r="D11" s="52"/>
      <c r="E11" s="51" t="s">
        <v>17</v>
      </c>
      <c r="F11" s="52"/>
      <c r="G11" s="51" t="s">
        <v>19</v>
      </c>
      <c r="H11" s="52"/>
      <c r="I11" s="3" t="s">
        <v>20</v>
      </c>
      <c r="J11" s="9"/>
      <c r="K11" s="48"/>
    </row>
    <row r="12" spans="1:12" ht="30" customHeight="1">
      <c r="A12" s="25"/>
      <c r="B12" s="44"/>
      <c r="C12" s="53"/>
      <c r="D12" s="53"/>
      <c r="E12" s="53"/>
      <c r="F12" s="53"/>
      <c r="G12" s="53"/>
      <c r="H12" s="53"/>
      <c r="I12" s="46"/>
      <c r="J12" s="9"/>
      <c r="K12" s="48"/>
    </row>
    <row r="13" spans="1:12" ht="30" customHeight="1">
      <c r="A13" s="25"/>
      <c r="B13" s="26"/>
      <c r="C13" s="54"/>
      <c r="D13" s="54"/>
      <c r="E13" s="54"/>
      <c r="F13" s="54"/>
      <c r="G13" s="54"/>
      <c r="H13" s="54"/>
      <c r="I13" s="31"/>
      <c r="J13" s="21"/>
      <c r="K13" s="48"/>
      <c r="L13" s="17"/>
    </row>
    <row r="14" spans="1:12" ht="30" customHeight="1">
      <c r="A14" s="25"/>
      <c r="B14" s="44"/>
      <c r="C14" s="53"/>
      <c r="D14" s="53"/>
      <c r="E14" s="53"/>
      <c r="F14" s="53"/>
      <c r="G14" s="53"/>
      <c r="H14" s="53"/>
      <c r="I14" s="46"/>
      <c r="J14" s="9" t="s">
        <v>17</v>
      </c>
      <c r="K14" s="48"/>
    </row>
    <row r="15" spans="1:12" ht="30" customHeight="1">
      <c r="A15" s="25"/>
      <c r="B15" s="26"/>
      <c r="C15" s="54"/>
      <c r="D15" s="54"/>
      <c r="E15" s="54"/>
      <c r="F15" s="54"/>
      <c r="G15" s="54"/>
      <c r="H15" s="54"/>
      <c r="I15" s="31"/>
      <c r="J15" s="9"/>
      <c r="K15" s="48"/>
    </row>
    <row r="16" spans="1:12" ht="30" customHeight="1">
      <c r="A16" s="25"/>
      <c r="B16" s="44"/>
      <c r="C16" s="53"/>
      <c r="D16" s="53"/>
      <c r="E16" s="53"/>
      <c r="F16" s="53"/>
      <c r="G16" s="53"/>
      <c r="H16" s="53"/>
      <c r="I16" s="47"/>
      <c r="J16" s="9"/>
      <c r="K16" s="48"/>
    </row>
    <row r="17" spans="1:12" ht="30" customHeight="1">
      <c r="A17" s="25"/>
      <c r="B17" s="26"/>
      <c r="C17" s="54"/>
      <c r="D17" s="54"/>
      <c r="E17" s="54"/>
      <c r="F17" s="54"/>
      <c r="G17" s="54"/>
      <c r="H17" s="54"/>
      <c r="I17" s="31"/>
      <c r="J17" s="9"/>
      <c r="K17" s="48"/>
    </row>
    <row r="18" spans="1:12" ht="30" customHeight="1">
      <c r="A18" s="25"/>
      <c r="B18" s="44"/>
      <c r="C18" s="53"/>
      <c r="D18" s="53"/>
      <c r="E18" s="53"/>
      <c r="F18" s="53"/>
      <c r="G18" s="53"/>
      <c r="H18" s="53"/>
      <c r="I18" s="46"/>
      <c r="J18" s="9"/>
      <c r="K18" s="48"/>
    </row>
    <row r="19" spans="1:12" ht="30" customHeight="1">
      <c r="A19" s="25"/>
      <c r="B19" s="26"/>
      <c r="C19" s="54"/>
      <c r="D19" s="54"/>
      <c r="E19" s="54"/>
      <c r="F19" s="54"/>
      <c r="G19" s="54"/>
      <c r="H19" s="54"/>
      <c r="I19" s="32"/>
      <c r="J19" s="21"/>
      <c r="K19" s="48"/>
      <c r="L19" s="17"/>
    </row>
    <row r="20" spans="1:12" ht="30" customHeight="1">
      <c r="A20" s="25"/>
      <c r="B20" s="44"/>
      <c r="C20" s="53"/>
      <c r="D20" s="53"/>
      <c r="E20" s="53"/>
      <c r="F20" s="53"/>
      <c r="G20" s="53"/>
      <c r="H20" s="53"/>
      <c r="I20" s="46"/>
      <c r="J20" s="9" t="s">
        <v>18</v>
      </c>
      <c r="K20" s="48"/>
    </row>
    <row r="21" spans="1:12" ht="30" customHeight="1">
      <c r="A21" s="25"/>
      <c r="B21" s="26"/>
      <c r="C21" s="54"/>
      <c r="D21" s="54"/>
      <c r="E21" s="54"/>
      <c r="F21" s="54"/>
      <c r="G21" s="54"/>
      <c r="H21" s="54"/>
      <c r="I21" s="31"/>
      <c r="J21" s="9"/>
      <c r="K21" s="48"/>
    </row>
    <row r="22" spans="1:12" ht="30" customHeight="1">
      <c r="A22" s="25"/>
      <c r="B22" s="44"/>
      <c r="C22" s="53"/>
      <c r="D22" s="53"/>
      <c r="E22" s="53"/>
      <c r="F22" s="53"/>
      <c r="G22" s="53"/>
      <c r="H22" s="53"/>
      <c r="I22" s="46"/>
      <c r="J22" s="9"/>
      <c r="K22" s="48"/>
    </row>
    <row r="23" spans="1:12" ht="30" customHeight="1">
      <c r="A23" s="25"/>
      <c r="B23" s="26"/>
      <c r="C23" s="54"/>
      <c r="D23" s="54"/>
      <c r="E23" s="54"/>
      <c r="F23" s="54"/>
      <c r="G23" s="54"/>
      <c r="H23" s="54"/>
      <c r="I23" s="31"/>
      <c r="J23" s="9"/>
      <c r="K23" s="48"/>
    </row>
    <row r="24" spans="1:12" ht="30" customHeight="1">
      <c r="A24" s="25"/>
      <c r="B24" s="44"/>
      <c r="C24" s="53"/>
      <c r="D24" s="53"/>
      <c r="E24" s="53"/>
      <c r="F24" s="53"/>
      <c r="G24" s="53"/>
      <c r="H24" s="53"/>
      <c r="I24" s="46"/>
      <c r="J24" s="9"/>
      <c r="K24" s="48"/>
    </row>
    <row r="25" spans="1:12" ht="30" customHeight="1">
      <c r="A25" s="25"/>
      <c r="B25" s="26"/>
      <c r="C25" s="54"/>
      <c r="D25" s="54"/>
      <c r="E25" s="54"/>
      <c r="F25" s="54"/>
      <c r="G25" s="54"/>
      <c r="H25" s="54"/>
      <c r="I25" s="31"/>
      <c r="J25" s="21"/>
      <c r="K25" s="48"/>
      <c r="L25" s="17"/>
    </row>
    <row r="26" spans="1:12" ht="30" customHeight="1">
      <c r="A26" s="25"/>
      <c r="B26" s="44"/>
      <c r="C26" s="53"/>
      <c r="D26" s="53"/>
      <c r="E26" s="53"/>
      <c r="F26" s="53"/>
      <c r="G26" s="53"/>
      <c r="H26" s="53"/>
      <c r="I26" s="46"/>
      <c r="J26" s="9" t="s">
        <v>20</v>
      </c>
      <c r="K26" s="48"/>
    </row>
    <row r="27" spans="1:12" ht="30" customHeight="1">
      <c r="A27" s="25"/>
      <c r="B27" s="26"/>
      <c r="C27" s="54"/>
      <c r="D27" s="54"/>
      <c r="E27" s="54"/>
      <c r="F27" s="54"/>
      <c r="G27" s="54"/>
      <c r="H27" s="54"/>
      <c r="I27" s="31"/>
      <c r="J27" s="9"/>
      <c r="K27" s="48"/>
    </row>
    <row r="28" spans="1:12" ht="30" customHeight="1">
      <c r="A28" s="25"/>
      <c r="B28" s="44"/>
      <c r="C28" s="53"/>
      <c r="D28" s="53"/>
      <c r="E28" s="53"/>
      <c r="F28" s="53"/>
      <c r="G28" s="53"/>
      <c r="H28" s="53"/>
      <c r="I28" s="46"/>
      <c r="J28" s="9"/>
      <c r="K28" s="48"/>
    </row>
    <row r="29" spans="1:12" ht="30" customHeight="1">
      <c r="A29" s="25"/>
      <c r="B29" s="26"/>
      <c r="C29" s="54"/>
      <c r="D29" s="54"/>
      <c r="E29" s="54"/>
      <c r="F29" s="54"/>
      <c r="G29" s="54"/>
      <c r="H29" s="54"/>
      <c r="I29" s="31"/>
      <c r="J29" s="9"/>
      <c r="K29" s="48"/>
    </row>
    <row r="30" spans="1:12" ht="30" customHeight="1">
      <c r="A30" s="25"/>
      <c r="B30" s="44"/>
      <c r="C30" s="53"/>
      <c r="D30" s="53"/>
      <c r="E30" s="53"/>
      <c r="F30" s="53"/>
      <c r="G30" s="53"/>
      <c r="H30" s="53"/>
      <c r="I30" s="46"/>
      <c r="J30" s="9"/>
      <c r="K30" s="48"/>
    </row>
    <row r="31" spans="1:12" ht="30" customHeight="1">
      <c r="A31" s="25"/>
      <c r="B31" s="29"/>
      <c r="C31" s="55"/>
      <c r="D31" s="55"/>
      <c r="E31" s="55"/>
      <c r="F31" s="55"/>
      <c r="G31" s="55"/>
      <c r="H31" s="55"/>
      <c r="I31" s="30"/>
      <c r="J31" s="21"/>
      <c r="K31" s="48"/>
      <c r="L31" s="17"/>
    </row>
  </sheetData>
  <mergeCells count="63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</mergeCells>
  <conditionalFormatting sqref="B12:I12 B14:I14 B16:I16 B18:I18 B20:I20 B22:I22 B24:I24 B26:I26 B28:I28 B30:I30">
    <cfRule type="expression" dxfId="12" priority="3">
      <formula>B12&lt;&gt;""</formula>
    </cfRule>
  </conditionalFormatting>
  <conditionalFormatting sqref="B12:I31">
    <cfRule type="expression" dxfId="11" priority="1">
      <formula>COLUMN(B12)&gt;2</formula>
    </cfRule>
  </conditionalFormatting>
  <conditionalFormatting sqref="B13:I13 B15:I15 B17:I17 B19:I19 B21:I21 B23:I23 B25:I25 B27:I27 B29:I29 B31:I31">
    <cfRule type="expression" dxfId="10" priority="4">
      <formula>B13&lt;&gt;""</formula>
    </cfRule>
  </conditionalFormatting>
  <conditionalFormatting sqref="B13:I13 B15:I15 B17:I17 B19:I19 B21:I21 B23:I23 B25:I25 B27:I27 B29:I29">
    <cfRule type="expression" dxfId="9" priority="2">
      <formula>COLUMN(B13)&gt;=2</formula>
    </cfRule>
  </conditionalFormatting>
  <conditionalFormatting sqref="C3:H3">
    <cfRule type="expression" dxfId="8" priority="6" stopIfTrue="1">
      <formula>DAY(C3)&gt;8</formula>
    </cfRule>
  </conditionalFormatting>
  <conditionalFormatting sqref="C3:I8">
    <cfRule type="expression" dxfId="7" priority="7">
      <formula>VLOOKUP(DAY(C3),DiasTarefa,1,FALSE)=DAY(C3)</formula>
    </cfRule>
  </conditionalFormatting>
  <conditionalFormatting sqref="C7:I8">
    <cfRule type="expression" dxfId="6" priority="5" stopIfTrue="1">
      <formula>AND(DAY(C7)&gt;=1,DAY(C7)&lt;=15)</formula>
    </cfRule>
  </conditionalFormatting>
  <dataValidations xWindow="282" yWindow="695" count="16">
    <dataValidation allowBlank="1" showInputMessage="1" showErrorMessage="1" prompt="O calendário de dezembro destaca automaticamente as entradas da lista de tarefas para o mês. As fontes mais escuras são tarefas. As fontes mais claras são os dias que pertencem ao mês anterior ou seguinte" sqref="B2" xr:uid="{00000000-0002-0000-0B00-000000000000}"/>
    <dataValidation allowBlank="1" showInputMessage="1" showErrorMessage="1" prompt="Ano civil atualizado automaticamente. Para alterar o ano, atualize a célula B1 na planilha de janeiro" sqref="B1" xr:uid="{00000000-0002-0000-0B00-000001000000}"/>
    <dataValidation allowBlank="1" showInputMessage="1" showErrorMessage="1" prompt="Prepare um cronograma semanal e crie uma lista de tarefas nesta planilha. As tarefas são destacadas automaticamente no calendário mensal para o ano inserido em B1 na planilha de janeiro" sqref="A1" xr:uid="{00000000-0002-0000-0B00-000002000000}"/>
    <dataValidation allowBlank="1" showInputMessage="1" showErrorMessage="1" prompt="Células C2:I2 contêm dias da semana" sqref="C2:D2" xr:uid="{F2889D1B-99D9-4D44-A2BF-D9BA5FD5A1BE}"/>
    <dataValidation allowBlank="1" showInputMessage="1" showErrorMessage="1" prompt="Se esta célula não contiver o número 1, será um dia de um mês anterior. Células C3:I8 contêm datas para o mês atual" sqref="C3" xr:uid="{00000000-0002-0000-0B00-000004000000}"/>
    <dataValidation allowBlank="1" showInputMessage="1" showErrorMessage="1" prompt="Se esta linha contiver um número menor que o número ou a linha de números anterior, ela conterá datas para o próximo mês do calendário" sqref="C8" xr:uid="{00000000-0002-0000-0B00-000005000000}"/>
    <dataValidation allowBlank="1" showInputMessage="1" showErrorMessage="1" prompt="Insira o horário nesta linha das colunas B a I" sqref="B12" xr:uid="{00000000-0002-0000-0B00-000006000000}"/>
    <dataValidation allowBlank="1" showInputMessage="1" showErrorMessage="1" prompt="Insira a aula nesta linha das colunas B a I" sqref="B13" xr:uid="{00000000-0002-0000-0B00-000007000000}"/>
    <dataValidation allowBlank="1" showInputMessage="1" showErrorMessage="1" prompt="Os dias da semana são agrupados nesta coluna, com 6 linhas para as tarefas de cada dia da semana do mês agrupado. Insira novas linhas para adicionar mais tarefas. O calendário à esquerda destacará os itens" sqref="J1" xr:uid="{00000000-0002-0000-0B00-000008000000}"/>
    <dataValidation allowBlank="1" showInputMessage="1" showErrorMessage="1" prompt="Insira os detalhes da tarefa nesta coluna, que corresponde ao dia da semana na coluna J e ao dia na coluna K para o mês do calendário à esquerda" sqref="L1" xr:uid="{DA220563-2739-4940-BE38-279EE25EDC38}"/>
    <dataValidation allowBlank="1" showInputMessage="1" showErrorMessage="1" prompt="Insira o dia do mês da tarefa nesta coluna, que corresponde ao dia da semana na coluna J. Essa data destacará a tarefa no calendário à esquerda" sqref="K1" xr:uid="{00000000-0002-0000-0B00-00000A000000}"/>
    <dataValidation allowBlank="1" showInputMessage="1" showErrorMessage="1" prompt="Os dias da semana estão nesta linha, de segunda a sexta" sqref="B11" xr:uid="{00000000-0002-0000-0B00-00000B000000}"/>
    <dataValidation allowBlank="1" showInputMessage="1" showErrorMessage="1" prompt="Insira o horário da aula e, abaixo, em uma nova linha, o nome da aula para cada dia da semana nas colunas de B a I. Repita esse padrão para todas as aulas nas linhas subsequentes" sqref="B10" xr:uid="{00000000-0002-0000-0B00-00000C000000}"/>
    <dataValidation allowBlank="1" showInputMessage="1" showErrorMessage="1" prompt="O nome da aula vai nessa linha, começando na célula à direita" sqref="A13 A15 A17 A19 A21 A23 A25 A27 A29 A31" xr:uid="{6B4CEE85-3E0F-4C4E-84A8-5B61A9837575}"/>
    <dataValidation allowBlank="1" showInputMessage="1" showErrorMessage="1" prompt="O horário da aula vai nessa linha,começando na célula à direita_x000a_" sqref="A12 A14 A16 A18 A20 A22 A24 A26 A28 A30" xr:uid="{90DE2C82-6D96-4EA9-A0AA-FD6DB50FAB0C}"/>
    <dataValidation allowBlank="1" showInputMessage="1" showErrorMessage="1" prompt="O dia da semana vai nessa linha, começando na célula B11" sqref="A11" xr:uid="{AE989AEA-F06D-4191-B6C8-96AF4EABFF99}"/>
  </dataValidations>
  <printOptions horizontalCentered="1" verticalCentered="1"/>
  <pageMargins left="0.5" right="0.5" top="0.5" bottom="0.5" header="0.3" footer="0.3"/>
  <pageSetup paperSize="9" scale="5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  <pageSetUpPr fitToPage="1"/>
  </sheetPr>
  <dimension ref="A1:L31"/>
  <sheetViews>
    <sheetView showGridLines="0" zoomScaleNormal="100" zoomScalePageLayoutView="84" workbookViewId="0">
      <selection activeCell="L1" sqref="L1"/>
    </sheetView>
  </sheetViews>
  <sheetFormatPr defaultColWidth="8.625" defaultRowHeight="30" customHeight="1"/>
  <cols>
    <col min="1" max="1" width="2.625" customWidth="1"/>
    <col min="2" max="2" width="20.625" customWidth="1"/>
    <col min="3" max="8" width="10.625" customWidth="1"/>
    <col min="9" max="9" width="20.625" customWidth="1"/>
    <col min="10" max="11" width="10.625" customWidth="1"/>
    <col min="12" max="12" width="70.625" customWidth="1"/>
    <col min="13" max="13" width="2.625" customWidth="1"/>
  </cols>
  <sheetData>
    <row r="1" spans="1:12" ht="30" customHeight="1">
      <c r="B1" s="11">
        <f>AnoCivil</f>
        <v>2025</v>
      </c>
      <c r="J1" s="20" t="s">
        <v>22</v>
      </c>
      <c r="K1" s="20" t="s">
        <v>23</v>
      </c>
      <c r="L1" s="10" t="s">
        <v>36</v>
      </c>
    </row>
    <row r="2" spans="1:12" ht="30" customHeight="1">
      <c r="A2" s="12"/>
      <c r="B2" s="43" t="s">
        <v>24</v>
      </c>
      <c r="C2" s="6" t="s">
        <v>10</v>
      </c>
      <c r="D2" s="6" t="s">
        <v>2</v>
      </c>
      <c r="E2" s="6" t="s">
        <v>16</v>
      </c>
      <c r="F2" s="6" t="s">
        <v>17</v>
      </c>
      <c r="G2" s="6" t="s">
        <v>18</v>
      </c>
      <c r="H2" s="6" t="s">
        <v>20</v>
      </c>
      <c r="I2" s="6" t="s">
        <v>21</v>
      </c>
      <c r="J2" s="9" t="s">
        <v>2</v>
      </c>
      <c r="K2" s="48"/>
    </row>
    <row r="3" spans="1:12" ht="30" customHeight="1">
      <c r="A3" s="12"/>
      <c r="C3" s="41">
        <f>IF(DAY(FevDom1)=1,FevDom1-6,FevDom1+1)</f>
        <v>45683</v>
      </c>
      <c r="D3" s="41">
        <f>IF(DAY(FevDom1)=1,FevDom1-5,FevDom1+2)</f>
        <v>45684</v>
      </c>
      <c r="E3" s="41">
        <f>IF(DAY(FevDom1)=1,FevDom1-4,FevDom1+3)</f>
        <v>45685</v>
      </c>
      <c r="F3" s="41">
        <f>IF(DAY(FevDom1)=1,FevDom1-3,FevDom1+4)</f>
        <v>45686</v>
      </c>
      <c r="G3" s="41">
        <f>IF(DAY(FevDom1)=1,FevDom1-2,FevDom1+5)</f>
        <v>45687</v>
      </c>
      <c r="H3" s="41">
        <f>IF(DAY(FevDom1)=1,FevDom1-1,FevDom1+6)</f>
        <v>45688</v>
      </c>
      <c r="I3" s="41">
        <f>IF(DAY(FevDom1)=1,FevDom1,FevDom1+7)</f>
        <v>45689</v>
      </c>
      <c r="J3" s="9"/>
      <c r="K3" s="48"/>
    </row>
    <row r="4" spans="1:12" ht="30" customHeight="1">
      <c r="A4" s="12"/>
      <c r="C4" s="41">
        <f>IF(DAY(FevDom1)=1,FevDom1+1,FevDom1+8)</f>
        <v>45690</v>
      </c>
      <c r="D4" s="41">
        <f>IF(DAY(FevDom1)=1,FevDom1+2,FevDom1+9)</f>
        <v>45691</v>
      </c>
      <c r="E4" s="41">
        <f>IF(DAY(FevDom1)=1,FevDom1+3,FevDom1+10)</f>
        <v>45692</v>
      </c>
      <c r="F4" s="41">
        <f>IF(DAY(FevDom1)=1,FevDom1+4,FevDom1+11)</f>
        <v>45693</v>
      </c>
      <c r="G4" s="41">
        <f>IF(DAY(FevDom1)=1,FevDom1+5,FevDom1+12)</f>
        <v>45694</v>
      </c>
      <c r="H4" s="41">
        <f>IF(DAY(FevDom1)=1,FevDom1+6,FevDom1+13)</f>
        <v>45695</v>
      </c>
      <c r="I4" s="41">
        <f>IF(DAY(FevDom1)=1,FevDom1+7,FevDom1+14)</f>
        <v>45696</v>
      </c>
      <c r="J4" s="9"/>
      <c r="K4" s="48"/>
    </row>
    <row r="5" spans="1:12" ht="30" customHeight="1">
      <c r="A5" s="12"/>
      <c r="C5" s="41">
        <f>IF(DAY(FevDom1)=1,FevDom1+8,FevDom1+15)</f>
        <v>45697</v>
      </c>
      <c r="D5" s="41">
        <f>IF(DAY(FevDom1)=1,FevDom1+9,FevDom1+16)</f>
        <v>45698</v>
      </c>
      <c r="E5" s="41">
        <f>IF(DAY(FevDom1)=1,FevDom1+10,FevDom1+17)</f>
        <v>45699</v>
      </c>
      <c r="F5" s="41">
        <f>IF(DAY(FevDom1)=1,FevDom1+11,FevDom1+18)</f>
        <v>45700</v>
      </c>
      <c r="G5" s="41">
        <f>IF(DAY(FevDom1)=1,FevDom1+12,FevDom1+19)</f>
        <v>45701</v>
      </c>
      <c r="H5" s="41">
        <f>IF(DAY(FevDom1)=1,FevDom1+13,FevDom1+20)</f>
        <v>45702</v>
      </c>
      <c r="I5" s="41">
        <f>IF(DAY(FevDom1)=1,FevDom1+14,FevDom1+21)</f>
        <v>45703</v>
      </c>
      <c r="J5" s="9"/>
      <c r="K5" s="48"/>
    </row>
    <row r="6" spans="1:12" ht="30" customHeight="1">
      <c r="A6" s="12"/>
      <c r="C6" s="41">
        <f>IF(DAY(FevDom1)=1,FevDom1+15,FevDom1+22)</f>
        <v>45704</v>
      </c>
      <c r="D6" s="41">
        <f>IF(DAY(FevDom1)=1,FevDom1+16,FevDom1+23)</f>
        <v>45705</v>
      </c>
      <c r="E6" s="41">
        <f>IF(DAY(FevDom1)=1,FevDom1+17,FevDom1+24)</f>
        <v>45706</v>
      </c>
      <c r="F6" s="41">
        <f>IF(DAY(FevDom1)=1,FevDom1+18,FevDom1+25)</f>
        <v>45707</v>
      </c>
      <c r="G6" s="41">
        <f>IF(DAY(FevDom1)=1,FevDom1+19,FevDom1+26)</f>
        <v>45708</v>
      </c>
      <c r="H6" s="41">
        <f>IF(DAY(FevDom1)=1,FevDom1+20,FevDom1+27)</f>
        <v>45709</v>
      </c>
      <c r="I6" s="41">
        <f>IF(DAY(FevDom1)=1,FevDom1+21,FevDom1+28)</f>
        <v>45710</v>
      </c>
      <c r="J6" s="9"/>
      <c r="K6" s="48"/>
    </row>
    <row r="7" spans="1:12" ht="30" customHeight="1">
      <c r="A7" s="12"/>
      <c r="C7" s="41">
        <f>IF(DAY(FevDom1)=1,FevDom1+22,FevDom1+29)</f>
        <v>45711</v>
      </c>
      <c r="D7" s="41">
        <f>IF(DAY(FevDom1)=1,FevDom1+23,FevDom1+30)</f>
        <v>45712</v>
      </c>
      <c r="E7" s="41">
        <f>IF(DAY(FevDom1)=1,FevDom1+24,FevDom1+31)</f>
        <v>45713</v>
      </c>
      <c r="F7" s="41">
        <f>IF(DAY(FevDom1)=1,FevDom1+25,FevDom1+32)</f>
        <v>45714</v>
      </c>
      <c r="G7" s="41">
        <f>IF(DAY(FevDom1)=1,FevDom1+26,FevDom1+33)</f>
        <v>45715</v>
      </c>
      <c r="H7" s="41">
        <f>IF(DAY(FevDom1)=1,FevDom1+27,FevDom1+34)</f>
        <v>45716</v>
      </c>
      <c r="I7" s="41">
        <f>IF(DAY(FevDom1)=1,FevDom1+28,FevDom1+35)</f>
        <v>45717</v>
      </c>
      <c r="J7" s="21"/>
      <c r="K7" s="48"/>
      <c r="L7" s="17"/>
    </row>
    <row r="8" spans="1:12" ht="30" customHeight="1">
      <c r="A8" s="12"/>
      <c r="B8" s="17"/>
      <c r="C8" s="41">
        <f>IF(DAY(FevDom1)=1,FevDom1+29,FevDom1+36)</f>
        <v>45718</v>
      </c>
      <c r="D8" s="41">
        <f>IF(DAY(FevDom1)=1,FevDom1+30,FevDom1+37)</f>
        <v>45719</v>
      </c>
      <c r="E8" s="41">
        <f>IF(DAY(FevDom1)=1,FevDom1+31,FevDom1+38)</f>
        <v>45720</v>
      </c>
      <c r="F8" s="41">
        <f>IF(DAY(FevDom1)=1,FevDom1+32,FevDom1+39)</f>
        <v>45721</v>
      </c>
      <c r="G8" s="41">
        <f>IF(DAY(FevDom1)=1,FevDom1+33,FevDom1+40)</f>
        <v>45722</v>
      </c>
      <c r="H8" s="41">
        <f>IF(DAY(FevDom1)=1,FevDom1+34,FevDom1+41)</f>
        <v>45723</v>
      </c>
      <c r="I8" s="41">
        <f>IF(DAY(FevDom1)=1,FevDom1+35,FevDom1+42)</f>
        <v>45724</v>
      </c>
      <c r="J8" s="9" t="s">
        <v>16</v>
      </c>
      <c r="K8" s="48"/>
    </row>
    <row r="9" spans="1:12" ht="30" customHeight="1">
      <c r="A9" s="12"/>
      <c r="C9" s="4"/>
      <c r="D9" s="4"/>
      <c r="E9" s="4"/>
      <c r="F9" s="4"/>
      <c r="G9" s="4"/>
      <c r="H9" s="4"/>
      <c r="I9" s="4"/>
      <c r="J9" s="9"/>
      <c r="K9" s="48"/>
    </row>
    <row r="10" spans="1:12" ht="30" customHeight="1">
      <c r="A10" s="12"/>
      <c r="B10" s="16" t="s">
        <v>1</v>
      </c>
      <c r="C10" s="8"/>
      <c r="D10" s="8"/>
      <c r="E10" s="8"/>
      <c r="F10" s="8"/>
      <c r="G10" s="8"/>
      <c r="H10" s="8"/>
      <c r="I10" s="8"/>
      <c r="J10" s="9"/>
      <c r="K10" s="48"/>
    </row>
    <row r="11" spans="1:12" ht="30" customHeight="1">
      <c r="A11" s="25"/>
      <c r="B11" s="13" t="s">
        <v>2</v>
      </c>
      <c r="C11" s="51" t="s">
        <v>11</v>
      </c>
      <c r="D11" s="52"/>
      <c r="E11" s="51" t="s">
        <v>17</v>
      </c>
      <c r="F11" s="52"/>
      <c r="G11" s="51" t="s">
        <v>19</v>
      </c>
      <c r="H11" s="52"/>
      <c r="I11" s="3" t="s">
        <v>20</v>
      </c>
      <c r="J11" s="9"/>
      <c r="K11" s="48"/>
    </row>
    <row r="12" spans="1:12" ht="30" customHeight="1">
      <c r="A12" s="25"/>
      <c r="B12" s="44"/>
      <c r="C12" s="53"/>
      <c r="D12" s="53"/>
      <c r="E12" s="53"/>
      <c r="F12" s="53"/>
      <c r="G12" s="53"/>
      <c r="H12" s="53"/>
      <c r="I12" s="46"/>
      <c r="J12" s="9"/>
      <c r="K12" s="48"/>
    </row>
    <row r="13" spans="1:12" ht="30" customHeight="1">
      <c r="A13" s="25"/>
      <c r="B13" s="26"/>
      <c r="C13" s="54"/>
      <c r="D13" s="54"/>
      <c r="E13" s="54"/>
      <c r="F13" s="54"/>
      <c r="G13" s="54"/>
      <c r="H13" s="54"/>
      <c r="I13" s="31"/>
      <c r="J13" s="21"/>
      <c r="K13" s="48"/>
      <c r="L13" s="17"/>
    </row>
    <row r="14" spans="1:12" ht="30" customHeight="1">
      <c r="A14" s="25"/>
      <c r="B14" s="44"/>
      <c r="C14" s="56"/>
      <c r="D14" s="56"/>
      <c r="E14" s="56"/>
      <c r="F14" s="56"/>
      <c r="G14" s="56"/>
      <c r="H14" s="56"/>
      <c r="I14" s="46"/>
      <c r="J14" s="9" t="s">
        <v>17</v>
      </c>
      <c r="K14" s="48"/>
    </row>
    <row r="15" spans="1:12" ht="30" customHeight="1">
      <c r="A15" s="25"/>
      <c r="B15" s="26"/>
      <c r="C15" s="54"/>
      <c r="D15" s="54"/>
      <c r="E15" s="54"/>
      <c r="F15" s="54"/>
      <c r="G15" s="54"/>
      <c r="H15" s="54"/>
      <c r="I15" s="31"/>
      <c r="J15" s="9"/>
      <c r="K15" s="48"/>
    </row>
    <row r="16" spans="1:12" ht="30" customHeight="1">
      <c r="A16" s="25"/>
      <c r="B16" s="44"/>
      <c r="C16" s="56"/>
      <c r="D16" s="56"/>
      <c r="E16" s="56"/>
      <c r="F16" s="56"/>
      <c r="G16" s="56"/>
      <c r="H16" s="56"/>
      <c r="I16" s="47"/>
      <c r="J16" s="9"/>
      <c r="K16" s="48"/>
    </row>
    <row r="17" spans="1:12" ht="30" customHeight="1">
      <c r="A17" s="25"/>
      <c r="B17" s="26"/>
      <c r="C17" s="54"/>
      <c r="D17" s="54"/>
      <c r="E17" s="54"/>
      <c r="F17" s="54"/>
      <c r="G17" s="54"/>
      <c r="H17" s="54"/>
      <c r="I17" s="31"/>
      <c r="J17" s="9"/>
      <c r="K17" s="48"/>
    </row>
    <row r="18" spans="1:12" ht="30" customHeight="1">
      <c r="A18" s="25"/>
      <c r="B18" s="44"/>
      <c r="C18" s="56"/>
      <c r="D18" s="56"/>
      <c r="E18" s="56"/>
      <c r="F18" s="56"/>
      <c r="G18" s="56"/>
      <c r="H18" s="56"/>
      <c r="I18" s="46"/>
      <c r="J18" s="9"/>
      <c r="K18" s="48"/>
    </row>
    <row r="19" spans="1:12" ht="30" customHeight="1">
      <c r="A19" s="25"/>
      <c r="B19" s="26"/>
      <c r="C19" s="54"/>
      <c r="D19" s="54"/>
      <c r="E19" s="54"/>
      <c r="F19" s="54"/>
      <c r="G19" s="54"/>
      <c r="H19" s="54"/>
      <c r="I19" s="32"/>
      <c r="J19" s="21"/>
      <c r="K19" s="48"/>
      <c r="L19" s="17"/>
    </row>
    <row r="20" spans="1:12" ht="30" customHeight="1">
      <c r="A20" s="25"/>
      <c r="B20" s="44"/>
      <c r="C20" s="56"/>
      <c r="D20" s="56"/>
      <c r="E20" s="56"/>
      <c r="F20" s="56"/>
      <c r="G20" s="56"/>
      <c r="H20" s="56"/>
      <c r="I20" s="46"/>
      <c r="J20" s="9" t="s">
        <v>18</v>
      </c>
      <c r="K20" s="48"/>
    </row>
    <row r="21" spans="1:12" ht="30" customHeight="1">
      <c r="A21" s="25"/>
      <c r="B21" s="26"/>
      <c r="C21" s="54"/>
      <c r="D21" s="54"/>
      <c r="E21" s="54"/>
      <c r="F21" s="54"/>
      <c r="G21" s="54"/>
      <c r="H21" s="54"/>
      <c r="I21" s="31"/>
      <c r="J21" s="9"/>
      <c r="K21" s="48"/>
    </row>
    <row r="22" spans="1:12" ht="30" customHeight="1">
      <c r="A22" s="25"/>
      <c r="B22" s="44"/>
      <c r="C22" s="56"/>
      <c r="D22" s="56"/>
      <c r="E22" s="56"/>
      <c r="F22" s="56"/>
      <c r="G22" s="56"/>
      <c r="H22" s="56"/>
      <c r="I22" s="46"/>
      <c r="J22" s="9"/>
      <c r="K22" s="48"/>
    </row>
    <row r="23" spans="1:12" ht="30" customHeight="1">
      <c r="A23" s="25"/>
      <c r="B23" s="26"/>
      <c r="C23" s="54"/>
      <c r="D23" s="54"/>
      <c r="E23" s="54"/>
      <c r="F23" s="54"/>
      <c r="G23" s="54"/>
      <c r="H23" s="54"/>
      <c r="I23" s="31"/>
      <c r="J23" s="9"/>
      <c r="K23" s="48"/>
    </row>
    <row r="24" spans="1:12" ht="30" customHeight="1">
      <c r="A24" s="25"/>
      <c r="B24" s="44"/>
      <c r="C24" s="56"/>
      <c r="D24" s="56"/>
      <c r="E24" s="56"/>
      <c r="F24" s="56"/>
      <c r="G24" s="56"/>
      <c r="H24" s="56"/>
      <c r="I24" s="46"/>
      <c r="J24" s="9"/>
      <c r="K24" s="48"/>
    </row>
    <row r="25" spans="1:12" ht="30" customHeight="1">
      <c r="A25" s="25"/>
      <c r="B25" s="26"/>
      <c r="C25" s="54"/>
      <c r="D25" s="54"/>
      <c r="E25" s="54"/>
      <c r="F25" s="54"/>
      <c r="G25" s="54"/>
      <c r="H25" s="54"/>
      <c r="I25" s="31"/>
      <c r="J25" s="21"/>
      <c r="K25" s="48"/>
      <c r="L25" s="17"/>
    </row>
    <row r="26" spans="1:12" ht="30" customHeight="1">
      <c r="A26" s="25"/>
      <c r="B26" s="44"/>
      <c r="C26" s="56"/>
      <c r="D26" s="56"/>
      <c r="E26" s="56"/>
      <c r="F26" s="56"/>
      <c r="G26" s="56"/>
      <c r="H26" s="56"/>
      <c r="I26" s="46"/>
      <c r="J26" s="9" t="s">
        <v>20</v>
      </c>
      <c r="K26" s="48"/>
    </row>
    <row r="27" spans="1:12" ht="30" customHeight="1">
      <c r="A27" s="25"/>
      <c r="B27" s="26"/>
      <c r="C27" s="54"/>
      <c r="D27" s="54"/>
      <c r="E27" s="54"/>
      <c r="F27" s="54"/>
      <c r="G27" s="54"/>
      <c r="H27" s="54"/>
      <c r="I27" s="31"/>
      <c r="J27" s="9"/>
      <c r="K27" s="48"/>
    </row>
    <row r="28" spans="1:12" ht="30" customHeight="1">
      <c r="A28" s="25"/>
      <c r="B28" s="44"/>
      <c r="C28" s="56"/>
      <c r="D28" s="56"/>
      <c r="E28" s="56"/>
      <c r="F28" s="56"/>
      <c r="G28" s="56"/>
      <c r="H28" s="56"/>
      <c r="I28" s="46"/>
      <c r="J28" s="9"/>
      <c r="K28" s="48"/>
    </row>
    <row r="29" spans="1:12" ht="30" customHeight="1">
      <c r="A29" s="25"/>
      <c r="B29" s="26"/>
      <c r="C29" s="54"/>
      <c r="D29" s="54"/>
      <c r="E29" s="54"/>
      <c r="F29" s="54"/>
      <c r="G29" s="54"/>
      <c r="H29" s="54"/>
      <c r="I29" s="31"/>
      <c r="J29" s="9"/>
      <c r="K29" s="48"/>
    </row>
    <row r="30" spans="1:12" ht="30" customHeight="1">
      <c r="A30" s="25"/>
      <c r="B30" s="44"/>
      <c r="C30" s="56"/>
      <c r="D30" s="56"/>
      <c r="E30" s="56"/>
      <c r="F30" s="56"/>
      <c r="G30" s="56"/>
      <c r="H30" s="56"/>
      <c r="I30" s="46"/>
      <c r="J30" s="9"/>
      <c r="K30" s="48"/>
    </row>
    <row r="31" spans="1:12" ht="30" customHeight="1">
      <c r="A31" s="25"/>
      <c r="B31" s="33"/>
      <c r="C31" s="57"/>
      <c r="D31" s="57"/>
      <c r="E31" s="57"/>
      <c r="F31" s="57"/>
      <c r="G31" s="57"/>
      <c r="H31" s="57"/>
      <c r="I31" s="30"/>
      <c r="J31" s="9"/>
      <c r="K31" s="48"/>
    </row>
  </sheetData>
  <mergeCells count="63"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6:D16"/>
    <mergeCell ref="E16:F16"/>
    <mergeCell ref="G16:H16"/>
    <mergeCell ref="C14:D14"/>
    <mergeCell ref="E14:F14"/>
    <mergeCell ref="G14:H14"/>
    <mergeCell ref="C15:D15"/>
    <mergeCell ref="E15:F15"/>
    <mergeCell ref="G15:H15"/>
    <mergeCell ref="C17:D17"/>
    <mergeCell ref="E17:F17"/>
    <mergeCell ref="G17:H17"/>
    <mergeCell ref="C18:D18"/>
    <mergeCell ref="E18:F18"/>
    <mergeCell ref="G18:H18"/>
    <mergeCell ref="C21:D21"/>
    <mergeCell ref="E21:F21"/>
    <mergeCell ref="G21:H21"/>
    <mergeCell ref="C19:D19"/>
    <mergeCell ref="E19:F19"/>
    <mergeCell ref="G19:H19"/>
    <mergeCell ref="C20:D20"/>
    <mergeCell ref="E20:F20"/>
    <mergeCell ref="G20:H20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8:D28"/>
    <mergeCell ref="E28:F28"/>
    <mergeCell ref="G28:H28"/>
    <mergeCell ref="C26:D26"/>
    <mergeCell ref="E26:F26"/>
    <mergeCell ref="G26:H26"/>
    <mergeCell ref="C27:D27"/>
    <mergeCell ref="E27:F27"/>
    <mergeCell ref="G27:H27"/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</mergeCells>
  <conditionalFormatting sqref="B12:I12 B14:I14 B16:I16 B18:I18 B20:I20 B22:I22 B24:I24 B26:I26 B28:I28 B30:I30">
    <cfRule type="expression" dxfId="84" priority="6">
      <formula>B12&lt;&gt;""</formula>
    </cfRule>
  </conditionalFormatting>
  <conditionalFormatting sqref="B12:I31">
    <cfRule type="expression" dxfId="83" priority="1">
      <formula>COLUMN(B12)&gt;2</formula>
    </cfRule>
  </conditionalFormatting>
  <conditionalFormatting sqref="B13:I13 B15:I15 B17:I17 B19:I19 B21:I21 B23:I23 B25:I25 B27:I27 B29:I29 B31:I31">
    <cfRule type="expression" dxfId="82" priority="7">
      <formula>B13&lt;&gt;""</formula>
    </cfRule>
  </conditionalFormatting>
  <conditionalFormatting sqref="B13:I13 B15:I15 B17:I17 B19:I19 B21:I21 B23:I23 B25:I25 B27:I27 B29:I29">
    <cfRule type="expression" dxfId="81" priority="4">
      <formula>COLUMN(B12)&gt;=2</formula>
    </cfRule>
  </conditionalFormatting>
  <conditionalFormatting sqref="C3:H3">
    <cfRule type="expression" dxfId="80" priority="9" stopIfTrue="1">
      <formula>DAY(C3)&gt;8</formula>
    </cfRule>
  </conditionalFormatting>
  <conditionalFormatting sqref="C3:I8">
    <cfRule type="expression" dxfId="79" priority="10">
      <formula>VLOOKUP(DAY(C3),DiasTarefa,1,FALSE)=DAY(C3)</formula>
    </cfRule>
  </conditionalFormatting>
  <conditionalFormatting sqref="C7:I8">
    <cfRule type="expression" dxfId="78" priority="8" stopIfTrue="1">
      <formula>AND(DAY(C7)&gt;=1,DAY(C7)&lt;=15)</formula>
    </cfRule>
  </conditionalFormatting>
  <dataValidations xWindow="95" yWindow="532" count="16">
    <dataValidation allowBlank="1" showInputMessage="1" showErrorMessage="1" prompt="O calendário de fevereiro destaca automaticamente as entradas da lista de tarefas para o mês. As fontes mais escuras são tarefas. As fontes mais claras são os dias que pertencem ao mês anterior ou seguinte" sqref="B2" xr:uid="{00000000-0002-0000-0100-000000000000}"/>
    <dataValidation allowBlank="1" showInputMessage="1" showErrorMessage="1" prompt="Ano civil atualizado automaticamente. Para alterar o ano, atualize a célula B1 na planilha de janeiro" sqref="B1" xr:uid="{00000000-0002-0000-0100-000001000000}"/>
    <dataValidation allowBlank="1" showInputMessage="1" showErrorMessage="1" prompt="Prepare um cronograma semanal e crie uma lista de tarefas nesta planilha. As tarefas são destacadas automaticamente no calendário mensal para o ano inserido em B1 na planilha de janeiro" sqref="A1" xr:uid="{00000000-0002-0000-0100-000002000000}"/>
    <dataValidation allowBlank="1" showInputMessage="1" showErrorMessage="1" prompt="Células C2:I2 contêm dias da semana" sqref="C2:D2" xr:uid="{12646065-AAEB-4825-9F13-3AFC7EE12F49}"/>
    <dataValidation allowBlank="1" showInputMessage="1" showErrorMessage="1" prompt="Se esta célula não contiver o número 1, será um dia de um mês anterior. Células C3:I8 contêm datas para o mês atual" sqref="C3" xr:uid="{00000000-0002-0000-0100-000004000000}"/>
    <dataValidation allowBlank="1" showInputMessage="1" showErrorMessage="1" prompt="Se esta linha contiver um número menor que o número ou a linha de números anterior, ela conterá datas para o próximo mês do calendário" sqref="C8" xr:uid="{00000000-0002-0000-0100-000005000000}"/>
    <dataValidation allowBlank="1" showInputMessage="1" showErrorMessage="1" prompt="Insira o horário nesta linha das colunas B a I" sqref="B12" xr:uid="{00000000-0002-0000-0100-000006000000}"/>
    <dataValidation allowBlank="1" showInputMessage="1" showErrorMessage="1" prompt="Insira a aula nesta linha das colunas B a I" sqref="B13" xr:uid="{00000000-0002-0000-0100-000007000000}"/>
    <dataValidation allowBlank="1" showInputMessage="1" showErrorMessage="1" prompt="Os dias da semana são agrupados nesta coluna, com 6 linhas para as tarefas de cada dia da semana do mês agrupado. Insira novas linhas para adicionar mais tarefas. O calendário à esquerda destacará os itens" sqref="J1" xr:uid="{00000000-0002-0000-0100-000008000000}"/>
    <dataValidation allowBlank="1" showInputMessage="1" showErrorMessage="1" prompt="Insira os detalhes da tarefa nesta coluna, que corresponde ao dia da semana na coluna J e ao dia na coluna K para o mês do calendário à esquerda" sqref="L1" xr:uid="{B23491A8-BDD7-4C7A-9980-21D91E4559C8}"/>
    <dataValidation allowBlank="1" showInputMessage="1" showErrorMessage="1" prompt="Insira o dia do mês da tarefa nesta coluna, que corresponde ao dia da semana na coluna J. Essa data destacará a tarefa no calendário à esquerda" sqref="K1" xr:uid="{00000000-0002-0000-0100-00000A000000}"/>
    <dataValidation allowBlank="1" showInputMessage="1" showErrorMessage="1" prompt="Os dias da semana estão nesta linha, de segunda a sexta" sqref="B11" xr:uid="{00000000-0002-0000-0100-00000B000000}"/>
    <dataValidation allowBlank="1" showInputMessage="1" showErrorMessage="1" prompt="Insira o horário da aula e, abaixo, em uma nova linha, o nome da aula para cada dia da semana nas colunas de B a I. Repita esse padrão para todas as aulas nas linhas subsequentes" sqref="B10" xr:uid="{00000000-0002-0000-0100-00000C000000}"/>
    <dataValidation allowBlank="1" showInputMessage="1" showErrorMessage="1" prompt="O dia da semana vai nessa linha, começando na célula B11" sqref="A11" xr:uid="{D1B06E8E-5518-4308-91F3-B6F5FEF7E4AE}"/>
    <dataValidation allowBlank="1" showInputMessage="1" showErrorMessage="1" prompt="O nome da aula vai nessa linha, começando na célula à direita" sqref="A13 A15 A17 A19 A21 A23 A25 A27 A29 A31" xr:uid="{A2170E93-6C97-429A-B735-96B7768EECBE}"/>
    <dataValidation allowBlank="1" showInputMessage="1" showErrorMessage="1" prompt="O horário da aula vai nessa linha,começando na célula à direita_x000a_" sqref="A12 A14 A16 A18 A20 A22 A24 A26 A28 A30" xr:uid="{2B888A25-4427-4DF5-8410-E1EDB5B9BD87}"/>
  </dataValidations>
  <printOptions horizontalCentered="1" verticalCentered="1"/>
  <pageMargins left="0.5" right="0.5" top="0.5" bottom="0.5" header="0.3" footer="0.3"/>
  <pageSetup paperSize="9" scale="58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L31"/>
  <sheetViews>
    <sheetView showGridLines="0" zoomScale="115" zoomScaleNormal="115" zoomScalePageLayoutView="84" workbookViewId="0">
      <selection activeCell="L1" sqref="L1"/>
    </sheetView>
  </sheetViews>
  <sheetFormatPr defaultColWidth="8.625" defaultRowHeight="30" customHeight="1"/>
  <cols>
    <col min="1" max="1" width="2.625" customWidth="1"/>
    <col min="2" max="2" width="20.625" customWidth="1"/>
    <col min="3" max="8" width="10.625" customWidth="1"/>
    <col min="9" max="9" width="20.625" customWidth="1"/>
    <col min="10" max="11" width="10.625" customWidth="1"/>
    <col min="12" max="12" width="70.625" customWidth="1"/>
    <col min="13" max="13" width="2.625" customWidth="1"/>
  </cols>
  <sheetData>
    <row r="1" spans="1:12" ht="30" customHeight="1">
      <c r="B1" s="11">
        <f>AnoCivil</f>
        <v>2025</v>
      </c>
      <c r="J1" s="20" t="s">
        <v>22</v>
      </c>
      <c r="K1" s="20" t="s">
        <v>23</v>
      </c>
      <c r="L1" s="10" t="s">
        <v>36</v>
      </c>
    </row>
    <row r="2" spans="1:12" ht="30" customHeight="1">
      <c r="A2" s="12"/>
      <c r="B2" s="38" t="s">
        <v>25</v>
      </c>
      <c r="C2" s="6" t="s">
        <v>10</v>
      </c>
      <c r="D2" s="6" t="s">
        <v>2</v>
      </c>
      <c r="E2" s="6" t="s">
        <v>16</v>
      </c>
      <c r="F2" s="6" t="s">
        <v>17</v>
      </c>
      <c r="G2" s="6" t="s">
        <v>18</v>
      </c>
      <c r="H2" s="6" t="s">
        <v>20</v>
      </c>
      <c r="I2" s="6" t="s">
        <v>21</v>
      </c>
      <c r="J2" s="9" t="s">
        <v>2</v>
      </c>
      <c r="K2" s="48"/>
    </row>
    <row r="3" spans="1:12" ht="30" customHeight="1">
      <c r="A3" s="12"/>
      <c r="C3" s="41">
        <f>IF(DAY(MarDom1)=1,MarDom1-6,MarDom1+1)</f>
        <v>45711</v>
      </c>
      <c r="D3" s="41">
        <f>IF(DAY(MarDom1)=1,MarDom1-5,MarDom1+2)</f>
        <v>45712</v>
      </c>
      <c r="E3" s="41">
        <f>IF(DAY(MarDom1)=1,MarDom1-4,MarDom1+3)</f>
        <v>45713</v>
      </c>
      <c r="F3" s="41">
        <f>IF(DAY(MarDom1)=1,MarDom1-3,MarDom1+4)</f>
        <v>45714</v>
      </c>
      <c r="G3" s="41">
        <f>IF(DAY(MarDom1)=1,MarDom1-2,MarDom1+5)</f>
        <v>45715</v>
      </c>
      <c r="H3" s="41">
        <f>IF(DAY(MarDom1)=1,MarDom1-1,MarDom1+6)</f>
        <v>45716</v>
      </c>
      <c r="I3" s="41">
        <f>IF(DAY(MarDom1)=1,MarDom1,MarDom1+7)</f>
        <v>45717</v>
      </c>
      <c r="J3" s="9"/>
      <c r="K3" s="48"/>
    </row>
    <row r="4" spans="1:12" ht="30" customHeight="1">
      <c r="A4" s="12"/>
      <c r="C4" s="41">
        <f>IF(DAY(MarDom1)=1,MarDom1+1,MarDom1+8)</f>
        <v>45718</v>
      </c>
      <c r="D4" s="41">
        <f>IF(DAY(MarDom1)=1,MarDom1+2,MarDom1+9)</f>
        <v>45719</v>
      </c>
      <c r="E4" s="41">
        <f>IF(DAY(MarDom1)=1,MarDom1+3,MarDom1+10)</f>
        <v>45720</v>
      </c>
      <c r="F4" s="41">
        <f>IF(DAY(MarDom1)=1,MarDom1+4,MarDom1+11)</f>
        <v>45721</v>
      </c>
      <c r="G4" s="41">
        <f>IF(DAY(MarDom1)=1,MarDom1+5,MarDom1+12)</f>
        <v>45722</v>
      </c>
      <c r="H4" s="41">
        <f>IF(DAY(MarDom1)=1,MarDom1+6,MarDom1+13)</f>
        <v>45723</v>
      </c>
      <c r="I4" s="41">
        <f>IF(DAY(MarDom1)=1,MarDom1+7,MarDom1+14)</f>
        <v>45724</v>
      </c>
      <c r="J4" s="9"/>
      <c r="K4" s="48"/>
    </row>
    <row r="5" spans="1:12" ht="30" customHeight="1">
      <c r="A5" s="12"/>
      <c r="C5" s="41">
        <f>IF(DAY(MarDom1)=1,MarDom1+8,MarDom1+15)</f>
        <v>45725</v>
      </c>
      <c r="D5" s="41">
        <f>IF(DAY(MarDom1)=1,MarDom1+9,MarDom1+16)</f>
        <v>45726</v>
      </c>
      <c r="E5" s="41">
        <f>IF(DAY(MarDom1)=1,MarDom1+10,MarDom1+17)</f>
        <v>45727</v>
      </c>
      <c r="F5" s="41">
        <f>IF(DAY(MarDom1)=1,MarDom1+11,MarDom1+18)</f>
        <v>45728</v>
      </c>
      <c r="G5" s="41">
        <f>IF(DAY(MarDom1)=1,MarDom1+12,MarDom1+19)</f>
        <v>45729</v>
      </c>
      <c r="H5" s="41">
        <f>IF(DAY(MarDom1)=1,MarDom1+13,MarDom1+20)</f>
        <v>45730</v>
      </c>
      <c r="I5" s="41">
        <f>IF(DAY(MarDom1)=1,MarDom1+14,MarDom1+21)</f>
        <v>45731</v>
      </c>
      <c r="J5" s="9"/>
      <c r="K5" s="48"/>
    </row>
    <row r="6" spans="1:12" ht="30" customHeight="1">
      <c r="A6" s="12"/>
      <c r="C6" s="41">
        <f>IF(DAY(MarDom1)=1,MarDom1+15,MarDom1+22)</f>
        <v>45732</v>
      </c>
      <c r="D6" s="41">
        <f>IF(DAY(MarDom1)=1,MarDom1+16,MarDom1+23)</f>
        <v>45733</v>
      </c>
      <c r="E6" s="41">
        <f>IF(DAY(MarDom1)=1,MarDom1+17,MarDom1+24)</f>
        <v>45734</v>
      </c>
      <c r="F6" s="41">
        <f>IF(DAY(MarDom1)=1,MarDom1+18,MarDom1+25)</f>
        <v>45735</v>
      </c>
      <c r="G6" s="41">
        <f>IF(DAY(MarDom1)=1,MarDom1+19,MarDom1+26)</f>
        <v>45736</v>
      </c>
      <c r="H6" s="41">
        <f>IF(DAY(MarDom1)=1,MarDom1+20,MarDom1+27)</f>
        <v>45737</v>
      </c>
      <c r="I6" s="41">
        <f>IF(DAY(MarDom1)=1,MarDom1+21,MarDom1+28)</f>
        <v>45738</v>
      </c>
      <c r="J6" s="9"/>
      <c r="K6" s="48"/>
    </row>
    <row r="7" spans="1:12" ht="30" customHeight="1">
      <c r="A7" s="12"/>
      <c r="C7" s="41">
        <f>IF(DAY(MarDom1)=1,MarDom1+22,MarDom1+29)</f>
        <v>45739</v>
      </c>
      <c r="D7" s="60">
        <f>IF(DAY(MarDom1)=1,MarDom1+23,MarDom1+30)</f>
        <v>45740</v>
      </c>
      <c r="E7" s="41">
        <f>IF(DAY(MarDom1)=1,MarDom1+24,MarDom1+31)</f>
        <v>45741</v>
      </c>
      <c r="F7" s="41">
        <f>IF(DAY(MarDom1)=1,MarDom1+25,MarDom1+32)</f>
        <v>45742</v>
      </c>
      <c r="G7" s="41">
        <f>IF(DAY(MarDom1)=1,MarDom1+26,MarDom1+33)</f>
        <v>45743</v>
      </c>
      <c r="H7" s="50">
        <f>IF(DAY(MarDom1)=1,MarDom1+27,MarDom1+34)</f>
        <v>45744</v>
      </c>
      <c r="I7" s="41">
        <f>IF(DAY(MarDom1)=1,MarDom1+28,MarDom1+35)</f>
        <v>45745</v>
      </c>
      <c r="J7" s="1"/>
      <c r="K7" s="49"/>
      <c r="L7" s="18"/>
    </row>
    <row r="8" spans="1:12" ht="30" customHeight="1">
      <c r="A8" s="12"/>
      <c r="B8" s="17"/>
      <c r="C8" s="41">
        <f>IF(DAY(MarDom1)=1,MarDom1+29,MarDom1+36)</f>
        <v>45746</v>
      </c>
      <c r="D8" s="41">
        <f>IF(DAY(MarDom1)=1,MarDom1+30,MarDom1+37)</f>
        <v>45747</v>
      </c>
      <c r="E8" s="41">
        <f>IF(DAY(MarDom1)=1,MarDom1+31,MarDom1+38)</f>
        <v>45748</v>
      </c>
      <c r="F8" s="41">
        <f>IF(DAY(MarDom1)=1,MarDom1+32,MarDom1+39)</f>
        <v>45749</v>
      </c>
      <c r="G8" s="41">
        <f>IF(DAY(MarDom1)=1,MarDom1+33,MarDom1+40)</f>
        <v>45750</v>
      </c>
      <c r="H8" s="41">
        <f>IF(DAY(MarDom1)=1,MarDom1+34,MarDom1+41)</f>
        <v>45751</v>
      </c>
      <c r="I8" s="41">
        <f>IF(DAY(MarDom1)=1,MarDom1+35,MarDom1+42)</f>
        <v>45752</v>
      </c>
      <c r="J8" s="9" t="s">
        <v>16</v>
      </c>
      <c r="K8" s="48"/>
    </row>
    <row r="9" spans="1:12" ht="30" customHeight="1">
      <c r="A9" s="12"/>
      <c r="C9" s="4"/>
      <c r="D9" s="4"/>
      <c r="E9" s="4"/>
      <c r="F9" s="4"/>
      <c r="G9" s="4"/>
      <c r="H9" s="4"/>
      <c r="I9" s="4"/>
      <c r="J9" s="9"/>
      <c r="K9" s="48"/>
    </row>
    <row r="10" spans="1:12" ht="30" customHeight="1">
      <c r="A10" s="12"/>
      <c r="B10" s="16" t="s">
        <v>1</v>
      </c>
      <c r="C10" s="8"/>
      <c r="D10" s="8"/>
      <c r="E10" s="8"/>
      <c r="F10" s="8"/>
      <c r="G10" s="8"/>
      <c r="H10" s="8"/>
      <c r="I10" s="8"/>
      <c r="J10" s="9"/>
      <c r="K10" s="48"/>
    </row>
    <row r="11" spans="1:12" ht="30" customHeight="1">
      <c r="A11" s="25"/>
      <c r="B11" s="13" t="s">
        <v>2</v>
      </c>
      <c r="C11" s="51" t="s">
        <v>11</v>
      </c>
      <c r="D11" s="52"/>
      <c r="E11" s="51" t="s">
        <v>17</v>
      </c>
      <c r="F11" s="52"/>
      <c r="G11" s="51" t="s">
        <v>19</v>
      </c>
      <c r="H11" s="52"/>
      <c r="I11" s="3" t="s">
        <v>20</v>
      </c>
      <c r="J11" s="9"/>
      <c r="K11" s="48"/>
    </row>
    <row r="12" spans="1:12" ht="30" customHeight="1">
      <c r="A12" s="25"/>
      <c r="B12" s="44"/>
      <c r="C12" s="53"/>
      <c r="D12" s="53"/>
      <c r="E12" s="53"/>
      <c r="F12" s="53"/>
      <c r="G12" s="53"/>
      <c r="H12" s="53"/>
      <c r="I12" s="46"/>
      <c r="J12" s="9"/>
      <c r="K12" s="48"/>
    </row>
    <row r="13" spans="1:12" ht="30" customHeight="1">
      <c r="A13" s="25"/>
      <c r="B13" s="26"/>
      <c r="C13" s="54"/>
      <c r="D13" s="54"/>
      <c r="E13" s="58"/>
      <c r="F13" s="54"/>
      <c r="G13" s="54"/>
      <c r="H13" s="54"/>
      <c r="I13" s="31"/>
      <c r="J13" s="1"/>
      <c r="K13" s="49"/>
      <c r="L13" s="18"/>
    </row>
    <row r="14" spans="1:12" ht="30" customHeight="1">
      <c r="A14" s="25"/>
      <c r="B14" s="44"/>
      <c r="C14" s="53"/>
      <c r="D14" s="53"/>
      <c r="E14" s="53"/>
      <c r="F14" s="53"/>
      <c r="G14" s="53"/>
      <c r="H14" s="53"/>
      <c r="I14" s="46"/>
      <c r="J14" s="9" t="s">
        <v>17</v>
      </c>
      <c r="K14" s="48"/>
    </row>
    <row r="15" spans="1:12" ht="30" customHeight="1">
      <c r="A15" s="25"/>
      <c r="B15" s="26"/>
      <c r="C15" s="54"/>
      <c r="D15" s="54"/>
      <c r="E15" s="54"/>
      <c r="F15" s="54"/>
      <c r="G15" s="54"/>
      <c r="H15" s="54"/>
      <c r="I15" s="31"/>
      <c r="J15" s="9"/>
      <c r="K15" s="48"/>
    </row>
    <row r="16" spans="1:12" ht="30" customHeight="1">
      <c r="A16" s="25"/>
      <c r="B16" s="44"/>
      <c r="C16" s="53"/>
      <c r="D16" s="53"/>
      <c r="E16" s="53"/>
      <c r="F16" s="53"/>
      <c r="G16" s="53"/>
      <c r="H16" s="53"/>
      <c r="I16" s="47"/>
      <c r="J16" s="9"/>
      <c r="K16" s="48"/>
    </row>
    <row r="17" spans="1:12" ht="30" customHeight="1">
      <c r="A17" s="25"/>
      <c r="B17" s="26"/>
      <c r="C17" s="54"/>
      <c r="D17" s="54"/>
      <c r="E17" s="54"/>
      <c r="F17" s="54"/>
      <c r="G17" s="54"/>
      <c r="H17" s="54"/>
      <c r="I17" s="31"/>
      <c r="J17" s="9"/>
      <c r="K17" s="48"/>
    </row>
    <row r="18" spans="1:12" ht="30" customHeight="1">
      <c r="A18" s="25"/>
      <c r="B18" s="44"/>
      <c r="C18" s="53"/>
      <c r="D18" s="53"/>
      <c r="E18" s="53"/>
      <c r="F18" s="53"/>
      <c r="G18" s="53"/>
      <c r="H18" s="53"/>
      <c r="I18" s="46"/>
      <c r="J18" s="9"/>
      <c r="K18" s="48"/>
    </row>
    <row r="19" spans="1:12" ht="30" customHeight="1">
      <c r="A19" s="25"/>
      <c r="B19" s="26"/>
      <c r="C19" s="54"/>
      <c r="D19" s="54"/>
      <c r="E19" s="54"/>
      <c r="F19" s="54"/>
      <c r="G19" s="54"/>
      <c r="H19" s="54"/>
      <c r="I19" s="32"/>
      <c r="J19" s="1"/>
      <c r="K19" s="49"/>
      <c r="L19" s="24"/>
    </row>
    <row r="20" spans="1:12" ht="30" customHeight="1">
      <c r="A20" s="25"/>
      <c r="B20" s="44"/>
      <c r="C20" s="53"/>
      <c r="D20" s="53"/>
      <c r="E20" s="53"/>
      <c r="F20" s="53"/>
      <c r="G20" s="53"/>
      <c r="H20" s="53"/>
      <c r="I20" s="46"/>
      <c r="J20" s="9" t="s">
        <v>18</v>
      </c>
      <c r="K20" s="48"/>
    </row>
    <row r="21" spans="1:12" ht="30" customHeight="1">
      <c r="A21" s="25"/>
      <c r="B21" s="26"/>
      <c r="C21" s="54"/>
      <c r="D21" s="54"/>
      <c r="E21" s="54"/>
      <c r="F21" s="54"/>
      <c r="G21" s="54"/>
      <c r="H21" s="54"/>
      <c r="I21" s="31"/>
      <c r="J21" s="9"/>
      <c r="K21" s="48"/>
    </row>
    <row r="22" spans="1:12" ht="30" customHeight="1">
      <c r="A22" s="25"/>
      <c r="B22" s="44"/>
      <c r="C22" s="53"/>
      <c r="D22" s="53"/>
      <c r="E22" s="53"/>
      <c r="F22" s="53"/>
      <c r="G22" s="53"/>
      <c r="H22" s="53"/>
      <c r="I22" s="46"/>
      <c r="J22" s="9"/>
      <c r="K22" s="48"/>
    </row>
    <row r="23" spans="1:12" ht="30" customHeight="1">
      <c r="A23" s="25"/>
      <c r="B23" s="26"/>
      <c r="C23" s="54"/>
      <c r="D23" s="54"/>
      <c r="E23" s="54"/>
      <c r="F23" s="54"/>
      <c r="G23" s="54"/>
      <c r="H23" s="54"/>
      <c r="I23" s="31"/>
      <c r="J23" s="9"/>
      <c r="K23" s="48"/>
    </row>
    <row r="24" spans="1:12" ht="30" customHeight="1">
      <c r="A24" s="25"/>
      <c r="B24" s="44"/>
      <c r="C24" s="53"/>
      <c r="D24" s="53"/>
      <c r="E24" s="53"/>
      <c r="F24" s="53"/>
      <c r="G24" s="53"/>
      <c r="H24" s="53"/>
      <c r="I24" s="46"/>
      <c r="J24" s="9"/>
      <c r="K24" s="48"/>
    </row>
    <row r="25" spans="1:12" ht="30" customHeight="1">
      <c r="A25" s="25"/>
      <c r="B25" s="26"/>
      <c r="C25" s="54"/>
      <c r="D25" s="54"/>
      <c r="E25" s="54"/>
      <c r="F25" s="54"/>
      <c r="G25" s="54"/>
      <c r="H25" s="54"/>
      <c r="I25" s="31"/>
      <c r="J25" s="1"/>
      <c r="K25" s="49"/>
      <c r="L25" s="24"/>
    </row>
    <row r="26" spans="1:12" ht="30" customHeight="1">
      <c r="A26" s="25"/>
      <c r="B26" s="44"/>
      <c r="C26" s="53"/>
      <c r="D26" s="53"/>
      <c r="E26" s="53"/>
      <c r="F26" s="53"/>
      <c r="G26" s="53"/>
      <c r="H26" s="53"/>
      <c r="I26" s="46"/>
      <c r="J26" s="9" t="s">
        <v>20</v>
      </c>
      <c r="K26" s="48"/>
    </row>
    <row r="27" spans="1:12" ht="30" customHeight="1">
      <c r="A27" s="25"/>
      <c r="B27" s="26"/>
      <c r="C27" s="54"/>
      <c r="D27" s="54"/>
      <c r="E27" s="54"/>
      <c r="F27" s="54"/>
      <c r="G27" s="54"/>
      <c r="H27" s="54"/>
      <c r="I27" s="31"/>
      <c r="J27" s="9"/>
      <c r="K27" s="48"/>
    </row>
    <row r="28" spans="1:12" ht="30" customHeight="1">
      <c r="A28" s="25"/>
      <c r="B28" s="44"/>
      <c r="C28" s="53"/>
      <c r="D28" s="53"/>
      <c r="E28" s="53"/>
      <c r="F28" s="53"/>
      <c r="G28" s="53"/>
      <c r="H28" s="53"/>
      <c r="I28" s="46"/>
      <c r="J28" s="9"/>
      <c r="K28" s="48"/>
    </row>
    <row r="29" spans="1:12" ht="30" customHeight="1">
      <c r="A29" s="25"/>
      <c r="B29" s="26"/>
      <c r="C29" s="54"/>
      <c r="D29" s="54"/>
      <c r="E29" s="54"/>
      <c r="F29" s="54"/>
      <c r="G29" s="54"/>
      <c r="H29" s="54"/>
      <c r="I29" s="31"/>
      <c r="J29" s="9"/>
      <c r="K29" s="48"/>
    </row>
    <row r="30" spans="1:12" ht="30" customHeight="1">
      <c r="A30" s="25"/>
      <c r="B30" s="44"/>
      <c r="C30" s="53"/>
      <c r="D30" s="53"/>
      <c r="E30" s="53"/>
      <c r="F30" s="53"/>
      <c r="G30" s="53"/>
      <c r="H30" s="53"/>
      <c r="I30" s="46"/>
      <c r="J30" s="9"/>
      <c r="K30" s="48"/>
    </row>
    <row r="31" spans="1:12" ht="30" customHeight="1">
      <c r="A31" s="25"/>
      <c r="B31" s="29"/>
      <c r="C31" s="55"/>
      <c r="D31" s="55"/>
      <c r="E31" s="55"/>
      <c r="F31" s="55"/>
      <c r="G31" s="55"/>
      <c r="H31" s="55"/>
      <c r="I31" s="30"/>
      <c r="J31" s="9"/>
      <c r="K31" s="48"/>
    </row>
  </sheetData>
  <mergeCells count="63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</mergeCells>
  <conditionalFormatting sqref="B12:I12 B14:I14 B16:I16 B18:I18 B20:I20 B22:I22 B24:I24 B26:I26 B28:I28 B30:I30">
    <cfRule type="expression" dxfId="77" priority="3">
      <formula>B12&lt;&gt;""</formula>
    </cfRule>
  </conditionalFormatting>
  <conditionalFormatting sqref="B12:I31">
    <cfRule type="expression" dxfId="76" priority="1">
      <formula>COLUMN(B12)&gt;2</formula>
    </cfRule>
  </conditionalFormatting>
  <conditionalFormatting sqref="B13:I13 B15:I15 B17:I17 B19:I19 B21:I21 B23:I23 B25:I25 B27:I27 B29:I29 B31:I31">
    <cfRule type="expression" dxfId="75" priority="4">
      <formula>B13&lt;&gt;""</formula>
    </cfRule>
  </conditionalFormatting>
  <conditionalFormatting sqref="B13:I13 B15:I15 B17:I17 B19:I19 B21:I21 B23:I23 B25:I25 B27:I27 B29:I29">
    <cfRule type="expression" dxfId="74" priority="2">
      <formula>COLUMN(B12)&gt;=2</formula>
    </cfRule>
  </conditionalFormatting>
  <conditionalFormatting sqref="C3:H3">
    <cfRule type="expression" dxfId="73" priority="6" stopIfTrue="1">
      <formula>DAY(C3)&gt;8</formula>
    </cfRule>
  </conditionalFormatting>
  <conditionalFormatting sqref="C3:I8">
    <cfRule type="expression" dxfId="72" priority="7">
      <formula>VLOOKUP(DAY(C3),DiasTarefa,1,FALSE)=DAY(C3)</formula>
    </cfRule>
  </conditionalFormatting>
  <conditionalFormatting sqref="C7:I8">
    <cfRule type="expression" dxfId="71" priority="5" stopIfTrue="1">
      <formula>AND(DAY(C7)&gt;=1,DAY(C7)&lt;=15)</formula>
    </cfRule>
  </conditionalFormatting>
  <dataValidations count="16">
    <dataValidation allowBlank="1" showInputMessage="1" showErrorMessage="1" prompt="Insira a aula nesta linha das colunas B a I" sqref="B13" xr:uid="{00000000-0002-0000-0200-000000000000}"/>
    <dataValidation allowBlank="1" showInputMessage="1" showErrorMessage="1" prompt="Insira o horário nesta linha das colunas B a I" sqref="B12" xr:uid="{00000000-0002-0000-0200-000001000000}"/>
    <dataValidation allowBlank="1" showInputMessage="1" showErrorMessage="1" prompt="Se esta linha contiver um número menor que o número ou a linha de números anterior, ela conterá datas para o próximo mês do calendário" sqref="C8" xr:uid="{00000000-0002-0000-0200-000002000000}"/>
    <dataValidation allowBlank="1" showInputMessage="1" showErrorMessage="1" prompt="Se esta célula não contiver o número 1, será um dia de um mês anterior. Células C3:I8 contêm datas para o mês atual" sqref="C3" xr:uid="{00000000-0002-0000-0200-000003000000}"/>
    <dataValidation allowBlank="1" showInputMessage="1" showErrorMessage="1" prompt="Células C2:I2 contêm dias da semana" sqref="C2:D2" xr:uid="{DADCCADF-CB3C-4525-BA5B-7B061D5853E6}"/>
    <dataValidation allowBlank="1" showInputMessage="1" showErrorMessage="1" prompt="Prepare um cronograma semanal e crie uma lista de tarefas nesta planilha. As tarefas são destacadas automaticamente no calendário mensal para o ano inserido em B1 na planilha de janeiro" sqref="A1" xr:uid="{00000000-0002-0000-0200-000005000000}"/>
    <dataValidation allowBlank="1" showInputMessage="1" showErrorMessage="1" prompt="Ano civil atualizado automaticamente. Para alterar o ano, atualize a célula B1 na planilha de janeiro" sqref="B1" xr:uid="{00000000-0002-0000-0200-000006000000}"/>
    <dataValidation allowBlank="1" showInputMessage="1" showErrorMessage="1" prompt="O calendário de março destaca automaticamente as entradas da lista de tarefas para o mês. As fontes mais escuras são tarefas. As fontes mais claras são os dias que pertencem ao mês anterior ou seguinte" sqref="B2" xr:uid="{00000000-0002-0000-0200-000007000000}"/>
    <dataValidation allowBlank="1" showInputMessage="1" showErrorMessage="1" prompt="Os dias da semana são agrupados nesta coluna, com 6 linhas para as tarefas de cada dia da semana do mês agrupado. Insira novas linhas para adicionar mais tarefas. O calendário à esquerda destacará os itens" sqref="J1" xr:uid="{00000000-0002-0000-0200-000008000000}"/>
    <dataValidation allowBlank="1" showInputMessage="1" showErrorMessage="1" prompt="Insira os detalhes da tarefa nesta coluna, que corresponde ao dia da semana na coluna J e ao dia na coluna K para o mês do calendário à esquerda" sqref="L1" xr:uid="{00000000-0002-0000-0200-000009000000}"/>
    <dataValidation allowBlank="1" showInputMessage="1" showErrorMessage="1" prompt="Insira o dia do mês da tarefa nesta coluna, que corresponde ao dia da semana na coluna J. Essa data destacará a tarefa no calendário à esquerda" sqref="K1" xr:uid="{00000000-0002-0000-0200-00000A000000}"/>
    <dataValidation allowBlank="1" showInputMessage="1" showErrorMessage="1" prompt="Os dias da semana estão nesta linha, de segunda a sexta" sqref="B11" xr:uid="{00000000-0002-0000-0200-00000B000000}"/>
    <dataValidation allowBlank="1" showInputMessage="1" showErrorMessage="1" prompt="Insira o horário da aula e, abaixo, em uma nova linha, o nome da aula para cada dia da semana nas colunas de B a I. Repita esse padrão para todas as aulas nas linhas subsequentes" sqref="B10" xr:uid="{00000000-0002-0000-0200-00000C000000}"/>
    <dataValidation allowBlank="1" showInputMessage="1" showErrorMessage="1" prompt="O nome da aula vai nessa linha, começando na célula à direita" sqref="A13 A15 A17 A19 A21 A23 A25 A27 A29 A31" xr:uid="{C89B7E00-6B3A-49AF-A2FC-B833F6F34BE1}"/>
    <dataValidation allowBlank="1" showInputMessage="1" showErrorMessage="1" prompt="O horário da aula vai nessa linha,começando na célula à direita_x000a_" sqref="A12 A14 A16 A18 A20 A22 A24 A26 A28 A30" xr:uid="{340B3B59-18A0-4FFC-8897-5A3146BDE56E}"/>
    <dataValidation allowBlank="1" showInputMessage="1" showErrorMessage="1" prompt="O dia da semana vai nessa linha, começando na célula B11" sqref="A11" xr:uid="{ABA210C2-D27D-4031-A5A1-1DBDF0341DEF}"/>
  </dataValidations>
  <printOptions horizontalCentered="1" verticalCentered="1"/>
  <pageMargins left="0.5" right="0.5" top="0.5" bottom="0.5" header="0.3" footer="0.3"/>
  <pageSetup paperSize="9" scale="58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L31"/>
  <sheetViews>
    <sheetView showGridLines="0" zoomScaleNormal="100" zoomScalePageLayoutView="84" workbookViewId="0">
      <selection activeCell="L1" sqref="L1"/>
    </sheetView>
  </sheetViews>
  <sheetFormatPr defaultColWidth="8.625" defaultRowHeight="30" customHeight="1"/>
  <cols>
    <col min="1" max="1" width="2.625" customWidth="1"/>
    <col min="2" max="2" width="20.625" customWidth="1"/>
    <col min="3" max="8" width="10.625" customWidth="1"/>
    <col min="9" max="9" width="20.625" customWidth="1"/>
    <col min="10" max="10" width="10.625" style="9" customWidth="1"/>
    <col min="11" max="11" width="10.625" customWidth="1"/>
    <col min="12" max="12" width="70.625" customWidth="1"/>
    <col min="13" max="13" width="2.625" customWidth="1"/>
  </cols>
  <sheetData>
    <row r="1" spans="1:12" ht="30" customHeight="1">
      <c r="B1" s="11">
        <f>AnoCivil</f>
        <v>2025</v>
      </c>
      <c r="J1" s="20" t="s">
        <v>22</v>
      </c>
      <c r="K1" s="20" t="s">
        <v>23</v>
      </c>
      <c r="L1" s="10" t="s">
        <v>36</v>
      </c>
    </row>
    <row r="2" spans="1:12" ht="30" customHeight="1">
      <c r="A2" s="12"/>
      <c r="B2" s="39" t="s">
        <v>26</v>
      </c>
      <c r="C2" s="6" t="s">
        <v>10</v>
      </c>
      <c r="D2" s="6" t="s">
        <v>2</v>
      </c>
      <c r="E2" s="6" t="s">
        <v>16</v>
      </c>
      <c r="F2" s="6" t="s">
        <v>17</v>
      </c>
      <c r="G2" s="6" t="s">
        <v>18</v>
      </c>
      <c r="H2" s="6" t="s">
        <v>20</v>
      </c>
      <c r="I2" s="6" t="s">
        <v>21</v>
      </c>
      <c r="J2" s="9" t="s">
        <v>2</v>
      </c>
      <c r="K2" s="48"/>
    </row>
    <row r="3" spans="1:12" ht="30" customHeight="1">
      <c r="A3" s="12"/>
      <c r="C3" s="41">
        <f>IF(DAY(AbrDom1)=1,AbrDom1-6,AbrDom1+1)</f>
        <v>45746</v>
      </c>
      <c r="D3" s="41">
        <f>IF(DAY(AbrDom1)=1,AbrDom1-5,AbrDom1+2)</f>
        <v>45747</v>
      </c>
      <c r="E3" s="41">
        <f>IF(DAY(AbrDom1)=1,AbrDom1-4,AbrDom1+3)</f>
        <v>45748</v>
      </c>
      <c r="F3" s="41">
        <f>IF(DAY(AbrDom1)=1,AbrDom1-3,AbrDom1+4)</f>
        <v>45749</v>
      </c>
      <c r="G3" s="41">
        <f>IF(DAY(AbrDom1)=1,AbrDom1-2,AbrDom1+5)</f>
        <v>45750</v>
      </c>
      <c r="H3" s="41">
        <f>IF(DAY(AbrDom1)=1,AbrDom1-1,AbrDom1+6)</f>
        <v>45751</v>
      </c>
      <c r="I3" s="41">
        <f>IF(DAY(AbrDom1)=1,AbrDom1,AbrDom1+7)</f>
        <v>45752</v>
      </c>
      <c r="K3" s="48"/>
    </row>
    <row r="4" spans="1:12" ht="30" customHeight="1">
      <c r="A4" s="12"/>
      <c r="C4" s="41">
        <f>IF(DAY(AbrDom1)=1,AbrDom1+1,AbrDom1+8)</f>
        <v>45753</v>
      </c>
      <c r="D4" s="41">
        <f>IF(DAY(AbrDom1)=1,AbrDom1+2,AbrDom1+9)</f>
        <v>45754</v>
      </c>
      <c r="E4" s="41">
        <f>IF(DAY(AbrDom1)=1,AbrDom1+3,AbrDom1+10)</f>
        <v>45755</v>
      </c>
      <c r="F4" s="41">
        <f>IF(DAY(AbrDom1)=1,AbrDom1+4,AbrDom1+11)</f>
        <v>45756</v>
      </c>
      <c r="G4" s="41">
        <f>IF(DAY(AbrDom1)=1,AbrDom1+5,AbrDom1+12)</f>
        <v>45757</v>
      </c>
      <c r="H4" s="41">
        <f>IF(DAY(AbrDom1)=1,AbrDom1+6,AbrDom1+13)</f>
        <v>45758</v>
      </c>
      <c r="I4" s="41">
        <f>IF(DAY(AbrDom1)=1,AbrDom1+7,AbrDom1+14)</f>
        <v>45759</v>
      </c>
      <c r="K4" s="48"/>
    </row>
    <row r="5" spans="1:12" ht="30" customHeight="1">
      <c r="A5" s="12"/>
      <c r="C5" s="41">
        <f>IF(DAY(AbrDom1)=1,AbrDom1+8,AbrDom1+15)</f>
        <v>45760</v>
      </c>
      <c r="D5" s="41">
        <f>IF(DAY(AbrDom1)=1,AbrDom1+9,AbrDom1+16)</f>
        <v>45761</v>
      </c>
      <c r="E5" s="41">
        <f>IF(DAY(AbrDom1)=1,AbrDom1+10,AbrDom1+17)</f>
        <v>45762</v>
      </c>
      <c r="F5" s="41">
        <f>IF(DAY(AbrDom1)=1,AbrDom1+11,AbrDom1+18)</f>
        <v>45763</v>
      </c>
      <c r="G5" s="41">
        <f>IF(DAY(AbrDom1)=1,AbrDom1+12,AbrDom1+19)</f>
        <v>45764</v>
      </c>
      <c r="H5" s="41">
        <f>IF(DAY(AbrDom1)=1,AbrDom1+13,AbrDom1+20)</f>
        <v>45765</v>
      </c>
      <c r="I5" s="41">
        <f>IF(DAY(AbrDom1)=1,AbrDom1+14,AbrDom1+21)</f>
        <v>45766</v>
      </c>
      <c r="K5" s="48"/>
    </row>
    <row r="6" spans="1:12" ht="30" customHeight="1">
      <c r="A6" s="12"/>
      <c r="C6" s="41">
        <f>IF(DAY(AbrDom1)=1,AbrDom1+15,AbrDom1+22)</f>
        <v>45767</v>
      </c>
      <c r="D6" s="41">
        <f>IF(DAY(AbrDom1)=1,AbrDom1+16,AbrDom1+23)</f>
        <v>45768</v>
      </c>
      <c r="E6" s="41">
        <f>IF(DAY(AbrDom1)=1,AbrDom1+17,AbrDom1+24)</f>
        <v>45769</v>
      </c>
      <c r="F6" s="41">
        <f>IF(DAY(AbrDom1)=1,AbrDom1+18,AbrDom1+25)</f>
        <v>45770</v>
      </c>
      <c r="G6" s="41">
        <f>IF(DAY(AbrDom1)=1,AbrDom1+19,AbrDom1+26)</f>
        <v>45771</v>
      </c>
      <c r="H6" s="41">
        <f>IF(DAY(AbrDom1)=1,AbrDom1+20,AbrDom1+27)</f>
        <v>45772</v>
      </c>
      <c r="I6" s="41">
        <f>IF(DAY(AbrDom1)=1,AbrDom1+21,AbrDom1+28)</f>
        <v>45773</v>
      </c>
      <c r="K6" s="48"/>
    </row>
    <row r="7" spans="1:12" ht="30" customHeight="1">
      <c r="A7" s="12"/>
      <c r="C7" s="41">
        <f>IF(DAY(AbrDom1)=1,AbrDom1+22,AbrDom1+29)</f>
        <v>45774</v>
      </c>
      <c r="D7" s="41">
        <f>IF(DAY(AbrDom1)=1,AbrDom1+23,AbrDom1+30)</f>
        <v>45775</v>
      </c>
      <c r="E7" s="41">
        <f>IF(DAY(AbrDom1)=1,AbrDom1+24,AbrDom1+31)</f>
        <v>45776</v>
      </c>
      <c r="F7" s="41">
        <f>IF(DAY(AbrDom1)=1,AbrDom1+25,AbrDom1+32)</f>
        <v>45777</v>
      </c>
      <c r="G7" s="41">
        <f>IF(DAY(AbrDom1)=1,AbrDom1+26,AbrDom1+33)</f>
        <v>45778</v>
      </c>
      <c r="H7" s="41">
        <f>IF(DAY(AbrDom1)=1,AbrDom1+27,AbrDom1+34)</f>
        <v>45779</v>
      </c>
      <c r="I7" s="41">
        <f>IF(DAY(AbrDom1)=1,AbrDom1+28,AbrDom1+35)</f>
        <v>45780</v>
      </c>
      <c r="J7" s="1"/>
      <c r="K7" s="49"/>
      <c r="L7" s="18"/>
    </row>
    <row r="8" spans="1:12" ht="30" customHeight="1">
      <c r="A8" s="12"/>
      <c r="B8" s="17"/>
      <c r="C8" s="41">
        <f>IF(DAY(AbrDom1)=1,AbrDom1+29,AbrDom1+36)</f>
        <v>45781</v>
      </c>
      <c r="D8" s="41">
        <f>IF(DAY(AbrDom1)=1,AbrDom1+30,AbrDom1+37)</f>
        <v>45782</v>
      </c>
      <c r="E8" s="41">
        <f>IF(DAY(AbrDom1)=1,AbrDom1+31,AbrDom1+38)</f>
        <v>45783</v>
      </c>
      <c r="F8" s="41">
        <f>IF(DAY(AbrDom1)=1,AbrDom1+32,AbrDom1+39)</f>
        <v>45784</v>
      </c>
      <c r="G8" s="41">
        <f>IF(DAY(AbrDom1)=1,AbrDom1+33,AbrDom1+40)</f>
        <v>45785</v>
      </c>
      <c r="H8" s="41">
        <f>IF(DAY(AbrDom1)=1,AbrDom1+34,AbrDom1+41)</f>
        <v>45786</v>
      </c>
      <c r="I8" s="41">
        <f>IF(DAY(AbrDom1)=1,AbrDom1+35,AbrDom1+42)</f>
        <v>45787</v>
      </c>
      <c r="J8" s="9" t="s">
        <v>16</v>
      </c>
      <c r="K8" s="48"/>
    </row>
    <row r="9" spans="1:12" ht="30" customHeight="1">
      <c r="A9" s="12"/>
      <c r="C9" s="4"/>
      <c r="D9" s="4"/>
      <c r="E9" s="4"/>
      <c r="F9" s="4"/>
      <c r="G9" s="4"/>
      <c r="H9" s="4"/>
      <c r="I9" s="4"/>
      <c r="K9" s="48"/>
    </row>
    <row r="10" spans="1:12" ht="30" customHeight="1">
      <c r="A10" s="12"/>
      <c r="B10" s="16" t="s">
        <v>1</v>
      </c>
      <c r="C10" s="8"/>
      <c r="D10" s="8"/>
      <c r="E10" s="8"/>
      <c r="F10" s="8"/>
      <c r="G10" s="8"/>
      <c r="H10" s="8"/>
      <c r="I10" s="8"/>
      <c r="K10" s="48"/>
    </row>
    <row r="11" spans="1:12" ht="30" customHeight="1">
      <c r="A11" s="25"/>
      <c r="B11" s="13" t="s">
        <v>2</v>
      </c>
      <c r="C11" s="51" t="s">
        <v>11</v>
      </c>
      <c r="D11" s="52"/>
      <c r="E11" s="51" t="s">
        <v>17</v>
      </c>
      <c r="F11" s="52"/>
      <c r="G11" s="51" t="s">
        <v>19</v>
      </c>
      <c r="H11" s="52"/>
      <c r="I11" s="3" t="s">
        <v>20</v>
      </c>
      <c r="K11" s="48"/>
    </row>
    <row r="12" spans="1:12" ht="30" customHeight="1">
      <c r="A12" s="25"/>
      <c r="B12" s="44"/>
      <c r="C12" s="53"/>
      <c r="D12" s="53"/>
      <c r="E12" s="53"/>
      <c r="F12" s="53"/>
      <c r="G12" s="53"/>
      <c r="H12" s="53"/>
      <c r="I12" s="46"/>
      <c r="K12" s="48"/>
    </row>
    <row r="13" spans="1:12" ht="30" customHeight="1">
      <c r="A13" s="25"/>
      <c r="B13" s="26"/>
      <c r="C13" s="54"/>
      <c r="D13" s="54"/>
      <c r="E13" s="54"/>
      <c r="F13" s="54"/>
      <c r="G13" s="54"/>
      <c r="H13" s="54"/>
      <c r="I13" s="31"/>
      <c r="J13" s="1"/>
      <c r="K13" s="49"/>
      <c r="L13" s="18"/>
    </row>
    <row r="14" spans="1:12" ht="30" customHeight="1">
      <c r="A14" s="25"/>
      <c r="B14" s="44"/>
      <c r="C14" s="53"/>
      <c r="D14" s="53"/>
      <c r="E14" s="53"/>
      <c r="F14" s="53"/>
      <c r="G14" s="53"/>
      <c r="H14" s="53"/>
      <c r="I14" s="46"/>
      <c r="J14" s="9" t="s">
        <v>17</v>
      </c>
      <c r="K14" s="48"/>
    </row>
    <row r="15" spans="1:12" ht="30" customHeight="1">
      <c r="A15" s="25"/>
      <c r="B15" s="26"/>
      <c r="C15" s="54"/>
      <c r="D15" s="54"/>
      <c r="E15" s="54"/>
      <c r="F15" s="54"/>
      <c r="G15" s="54"/>
      <c r="H15" s="54"/>
      <c r="I15" s="31"/>
      <c r="K15" s="48"/>
    </row>
    <row r="16" spans="1:12" ht="30" customHeight="1">
      <c r="A16" s="25"/>
      <c r="B16" s="44"/>
      <c r="C16" s="53"/>
      <c r="D16" s="53"/>
      <c r="E16" s="53"/>
      <c r="F16" s="53"/>
      <c r="G16" s="53"/>
      <c r="H16" s="53"/>
      <c r="I16" s="47"/>
      <c r="K16" s="48"/>
    </row>
    <row r="17" spans="1:12" ht="30" customHeight="1">
      <c r="A17" s="25"/>
      <c r="B17" s="26"/>
      <c r="C17" s="54"/>
      <c r="D17" s="54"/>
      <c r="E17" s="54"/>
      <c r="F17" s="54"/>
      <c r="G17" s="54"/>
      <c r="H17" s="54"/>
      <c r="I17" s="31"/>
      <c r="K17" s="48"/>
    </row>
    <row r="18" spans="1:12" ht="30" customHeight="1">
      <c r="A18" s="25"/>
      <c r="B18" s="44"/>
      <c r="C18" s="53"/>
      <c r="D18" s="53"/>
      <c r="E18" s="53"/>
      <c r="F18" s="53"/>
      <c r="G18" s="53"/>
      <c r="H18" s="53"/>
      <c r="I18" s="46"/>
      <c r="K18" s="48"/>
    </row>
    <row r="19" spans="1:12" ht="30" customHeight="1">
      <c r="A19" s="25"/>
      <c r="B19" s="26"/>
      <c r="C19" s="54"/>
      <c r="D19" s="54"/>
      <c r="E19" s="54"/>
      <c r="F19" s="54"/>
      <c r="G19" s="54"/>
      <c r="H19" s="54"/>
      <c r="I19" s="32"/>
      <c r="J19" s="1"/>
      <c r="K19" s="49"/>
      <c r="L19" s="24"/>
    </row>
    <row r="20" spans="1:12" ht="30" customHeight="1">
      <c r="A20" s="25"/>
      <c r="B20" s="44"/>
      <c r="C20" s="53"/>
      <c r="D20" s="53"/>
      <c r="E20" s="53"/>
      <c r="F20" s="53"/>
      <c r="G20" s="53"/>
      <c r="H20" s="53"/>
      <c r="I20" s="46"/>
      <c r="J20" s="9" t="s">
        <v>18</v>
      </c>
      <c r="K20" s="48"/>
    </row>
    <row r="21" spans="1:12" ht="30" customHeight="1">
      <c r="A21" s="25"/>
      <c r="B21" s="26"/>
      <c r="C21" s="54"/>
      <c r="D21" s="54"/>
      <c r="E21" s="54"/>
      <c r="F21" s="54"/>
      <c r="G21" s="54"/>
      <c r="H21" s="54"/>
      <c r="I21" s="31"/>
      <c r="K21" s="48"/>
    </row>
    <row r="22" spans="1:12" ht="30" customHeight="1">
      <c r="A22" s="25"/>
      <c r="B22" s="44"/>
      <c r="C22" s="53"/>
      <c r="D22" s="53"/>
      <c r="E22" s="53"/>
      <c r="F22" s="53"/>
      <c r="G22" s="53"/>
      <c r="H22" s="53"/>
      <c r="I22" s="46"/>
      <c r="K22" s="48"/>
    </row>
    <row r="23" spans="1:12" ht="30" customHeight="1">
      <c r="A23" s="25"/>
      <c r="B23" s="26"/>
      <c r="C23" s="54"/>
      <c r="D23" s="54"/>
      <c r="E23" s="54"/>
      <c r="F23" s="54"/>
      <c r="G23" s="54"/>
      <c r="H23" s="54"/>
      <c r="I23" s="31"/>
      <c r="K23" s="48"/>
    </row>
    <row r="24" spans="1:12" ht="30" customHeight="1">
      <c r="A24" s="25"/>
      <c r="B24" s="44"/>
      <c r="C24" s="53"/>
      <c r="D24" s="53"/>
      <c r="E24" s="53"/>
      <c r="F24" s="53"/>
      <c r="G24" s="53"/>
      <c r="H24" s="53"/>
      <c r="I24" s="46"/>
      <c r="K24" s="48"/>
    </row>
    <row r="25" spans="1:12" ht="30" customHeight="1">
      <c r="A25" s="25"/>
      <c r="B25" s="26"/>
      <c r="C25" s="54"/>
      <c r="D25" s="54"/>
      <c r="E25" s="54"/>
      <c r="F25" s="54"/>
      <c r="G25" s="54"/>
      <c r="H25" s="54"/>
      <c r="I25" s="31"/>
      <c r="J25" s="1"/>
      <c r="K25" s="49"/>
      <c r="L25" s="24"/>
    </row>
    <row r="26" spans="1:12" ht="30" customHeight="1">
      <c r="A26" s="25"/>
      <c r="B26" s="44"/>
      <c r="C26" s="53"/>
      <c r="D26" s="53"/>
      <c r="E26" s="53"/>
      <c r="F26" s="53"/>
      <c r="G26" s="53"/>
      <c r="H26" s="53"/>
      <c r="I26" s="46"/>
      <c r="J26" s="9" t="s">
        <v>20</v>
      </c>
      <c r="K26" s="48"/>
      <c r="L26" t="s">
        <v>27</v>
      </c>
    </row>
    <row r="27" spans="1:12" ht="30" customHeight="1">
      <c r="A27" s="25"/>
      <c r="B27" s="26"/>
      <c r="C27" s="54"/>
      <c r="D27" s="54"/>
      <c r="E27" s="54"/>
      <c r="F27" s="54"/>
      <c r="G27" s="54"/>
      <c r="H27" s="54"/>
      <c r="I27" s="31"/>
      <c r="K27" s="48"/>
    </row>
    <row r="28" spans="1:12" ht="30" customHeight="1">
      <c r="A28" s="25"/>
      <c r="B28" s="44"/>
      <c r="C28" s="53"/>
      <c r="D28" s="53"/>
      <c r="E28" s="53"/>
      <c r="F28" s="53"/>
      <c r="G28" s="53"/>
      <c r="H28" s="53"/>
      <c r="I28" s="46"/>
      <c r="K28" s="48"/>
    </row>
    <row r="29" spans="1:12" ht="30" customHeight="1">
      <c r="A29" s="25"/>
      <c r="B29" s="26"/>
      <c r="C29" s="54"/>
      <c r="D29" s="54"/>
      <c r="E29" s="54"/>
      <c r="F29" s="54"/>
      <c r="G29" s="54"/>
      <c r="H29" s="54"/>
      <c r="I29" s="31"/>
      <c r="K29" s="48"/>
    </row>
    <row r="30" spans="1:12" ht="30" customHeight="1">
      <c r="A30" s="25"/>
      <c r="B30" s="44"/>
      <c r="C30" s="53"/>
      <c r="D30" s="53"/>
      <c r="E30" s="53"/>
      <c r="F30" s="53"/>
      <c r="G30" s="53"/>
      <c r="H30" s="53"/>
      <c r="I30" s="46"/>
      <c r="K30" s="48"/>
    </row>
    <row r="31" spans="1:12" ht="30" customHeight="1">
      <c r="A31" s="25"/>
      <c r="B31" s="29"/>
      <c r="C31" s="55"/>
      <c r="D31" s="55"/>
      <c r="E31" s="55"/>
      <c r="F31" s="55"/>
      <c r="G31" s="55"/>
      <c r="H31" s="55"/>
      <c r="I31" s="30"/>
      <c r="K31" s="48"/>
    </row>
  </sheetData>
  <mergeCells count="63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</mergeCells>
  <conditionalFormatting sqref="B12:I12 B14:I14 B16:I16 B18:I18 B20:I20 B22:I22 B24:I24 B26:I26 B28:I28 B30:I30">
    <cfRule type="expression" dxfId="70" priority="3">
      <formula>B12&lt;&gt;""</formula>
    </cfRule>
  </conditionalFormatting>
  <conditionalFormatting sqref="B12:I31">
    <cfRule type="expression" dxfId="69" priority="1">
      <formula>COLUMN(B12)&gt;2</formula>
    </cfRule>
  </conditionalFormatting>
  <conditionalFormatting sqref="B13:I13 B15:I15 B17:I17 B19:I19 B21:I21 B23:I23 B25:I25 B27:I27 B29:I29 B31:I31">
    <cfRule type="expression" dxfId="68" priority="4">
      <formula>B13&lt;&gt;""</formula>
    </cfRule>
  </conditionalFormatting>
  <conditionalFormatting sqref="B13:I13 B15:I15 B17:I17 B19:I19 B21:I21 B23:I23 B25:I25 B27:I27 B29:I29">
    <cfRule type="expression" dxfId="67" priority="2">
      <formula>COLUMN(B12)&gt;=2</formula>
    </cfRule>
  </conditionalFormatting>
  <conditionalFormatting sqref="C3:H3">
    <cfRule type="expression" dxfId="66" priority="6" stopIfTrue="1">
      <formula>DAY(C3)&gt;8</formula>
    </cfRule>
  </conditionalFormatting>
  <conditionalFormatting sqref="C3:I8">
    <cfRule type="expression" dxfId="65" priority="7">
      <formula>VLOOKUP(DAY(C3),DiasTarefa,1,FALSE)=DAY(C3)</formula>
    </cfRule>
  </conditionalFormatting>
  <conditionalFormatting sqref="C7:I8">
    <cfRule type="expression" dxfId="64" priority="5" stopIfTrue="1">
      <formula>AND(DAY(C7)&gt;=1,DAY(C7)&lt;=15)</formula>
    </cfRule>
  </conditionalFormatting>
  <dataValidations xWindow="209" yWindow="929" count="16">
    <dataValidation allowBlank="1" showInputMessage="1" showErrorMessage="1" prompt="O calendário de abril destaca automaticamente as entradas da lista de tarefas para o mês. As fontes mais escuras são tarefas. As fontes mais claras são os dias que pertencem ao mês anterior ou seguinte" sqref="B2" xr:uid="{00000000-0002-0000-0300-000000000000}"/>
    <dataValidation allowBlank="1" showInputMessage="1" showErrorMessage="1" prompt="Ano civil atualizado automaticamente. Para alterar o ano, atualize a célula B1 na planilha de janeiro" sqref="B1" xr:uid="{00000000-0002-0000-0300-000001000000}"/>
    <dataValidation allowBlank="1" showInputMessage="1" showErrorMessage="1" prompt="Prepare um cronograma semanal e crie uma lista de tarefas nesta planilha. As tarefas são destacadas automaticamente no calendário mensal para o ano inserido em B1 na planilha de janeiro" sqref="A1" xr:uid="{00000000-0002-0000-0300-000002000000}"/>
    <dataValidation allowBlank="1" showInputMessage="1" showErrorMessage="1" prompt="Células C2:I2 contêm dias da semana" sqref="C2:D2" xr:uid="{B898BC06-E5B2-47A8-9CB3-C7067627C07A}"/>
    <dataValidation allowBlank="1" showInputMessage="1" showErrorMessage="1" prompt="Se esta célula não contiver o número 1, será um dia de um mês anterior. Células C3:I8 contêm datas para o mês atual" sqref="C3" xr:uid="{00000000-0002-0000-0300-000004000000}"/>
    <dataValidation allowBlank="1" showInputMessage="1" showErrorMessage="1" prompt="Se esta linha contiver um número menor que o número ou a linha de números anterior, ela conterá datas para o próximo mês do calendário" sqref="C8" xr:uid="{00000000-0002-0000-0300-000005000000}"/>
    <dataValidation allowBlank="1" showInputMessage="1" showErrorMessage="1" prompt="Insira o horário nesta linha das colunas B a I" sqref="B12" xr:uid="{00000000-0002-0000-0300-000006000000}"/>
    <dataValidation allowBlank="1" showInputMessage="1" showErrorMessage="1" prompt="Insira a aula nesta linha das colunas B a I" sqref="B13" xr:uid="{00000000-0002-0000-0300-000007000000}"/>
    <dataValidation allowBlank="1" showInputMessage="1" showErrorMessage="1" prompt="Os dias da semana são agrupados nesta coluna, com 6 linhas para as tarefas de cada dia da semana do mês agrupado. Insira novas linhas para adicionar mais tarefas. O calendário à esquerda destacará os itens" sqref="J1" xr:uid="{00000000-0002-0000-0300-000008000000}"/>
    <dataValidation allowBlank="1" showInputMessage="1" showErrorMessage="1" prompt="Insira os detalhes da tarefa nesta coluna, que corresponde ao dia da semana na coluna J e ao dia na coluna K para o mês do calendário à esquerda" sqref="L1" xr:uid="{0C2BA9B4-794E-4960-BB89-51FABCF85412}"/>
    <dataValidation allowBlank="1" showInputMessage="1" showErrorMessage="1" prompt="Insira o dia do mês da tarefa nesta coluna, que corresponde ao dia da semana na coluna J. Essa data destacará a tarefa no calendário à esquerda" sqref="K1" xr:uid="{00000000-0002-0000-0300-00000A000000}"/>
    <dataValidation allowBlank="1" showInputMessage="1" showErrorMessage="1" prompt="Os dias da semana estão nesta linha, de segunda a sexta" sqref="B11" xr:uid="{00000000-0002-0000-0300-00000B000000}"/>
    <dataValidation allowBlank="1" showInputMessage="1" showErrorMessage="1" prompt="Insira o horário da aula e, abaixo, em uma nova linha, o nome da aula para cada dia da semana nas colunas de B a I. Repita esse padrão para todas as aulas nas linhas subsequentes" sqref="B10" xr:uid="{00000000-0002-0000-0300-00000C000000}"/>
    <dataValidation allowBlank="1" showInputMessage="1" showErrorMessage="1" prompt="O nome da aula vai nessa linha, começando na célula à direita" sqref="A13 A15 A17 A19 A21 A23 A25 A27 A29 A31" xr:uid="{4B0B6FA6-A020-4BDF-9B1C-0041ED943239}"/>
    <dataValidation allowBlank="1" showInputMessage="1" showErrorMessage="1" prompt="O horário da aula vai nessa linha,começando na célula à direita_x000a_" sqref="A12 A14 A16 A18 A20 A22 A24 A26 A28 A30" xr:uid="{2F08939B-E9DB-4A03-9303-DC2BFEB4B0CC}"/>
    <dataValidation allowBlank="1" showInputMessage="1" showErrorMessage="1" prompt="O dia da semana vai nessa linha, começando na célula B11" sqref="A11" xr:uid="{2540073C-8A61-49E1-B5A1-B606D512E8D8}"/>
  </dataValidations>
  <printOptions horizontalCentered="1" verticalCentered="1"/>
  <pageMargins left="0.5" right="0.5" top="0.5" bottom="0.5" header="0.3" footer="0.3"/>
  <pageSetup paperSize="9" scale="58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L31"/>
  <sheetViews>
    <sheetView showGridLines="0" zoomScaleNormal="100" zoomScalePageLayoutView="84" workbookViewId="0">
      <selection activeCell="L2" sqref="L2"/>
    </sheetView>
  </sheetViews>
  <sheetFormatPr defaultColWidth="8.625" defaultRowHeight="30" customHeight="1"/>
  <cols>
    <col min="1" max="1" width="2.625" customWidth="1"/>
    <col min="2" max="2" width="20.625" customWidth="1"/>
    <col min="3" max="8" width="10.625" customWidth="1"/>
    <col min="9" max="9" width="20.625" customWidth="1"/>
    <col min="10" max="11" width="10.625" customWidth="1"/>
    <col min="12" max="12" width="70.625" customWidth="1"/>
    <col min="13" max="13" width="2.625" customWidth="1"/>
  </cols>
  <sheetData>
    <row r="1" spans="1:12" ht="30" customHeight="1">
      <c r="B1" s="11">
        <f>AnoCivil</f>
        <v>2025</v>
      </c>
      <c r="J1" s="20" t="s">
        <v>22</v>
      </c>
      <c r="K1" s="20" t="s">
        <v>23</v>
      </c>
      <c r="L1" s="10" t="s">
        <v>36</v>
      </c>
    </row>
    <row r="2" spans="1:12" ht="30" customHeight="1">
      <c r="A2" s="12"/>
      <c r="B2" s="39" t="s">
        <v>35</v>
      </c>
      <c r="C2" s="6" t="s">
        <v>10</v>
      </c>
      <c r="D2" s="6" t="s">
        <v>2</v>
      </c>
      <c r="E2" s="6" t="s">
        <v>16</v>
      </c>
      <c r="F2" s="6" t="s">
        <v>17</v>
      </c>
      <c r="G2" s="6" t="s">
        <v>18</v>
      </c>
      <c r="H2" s="6" t="s">
        <v>20</v>
      </c>
      <c r="I2" s="6" t="s">
        <v>21</v>
      </c>
      <c r="J2" s="9" t="s">
        <v>2</v>
      </c>
      <c r="K2" s="48"/>
    </row>
    <row r="3" spans="1:12" ht="30" customHeight="1">
      <c r="A3" s="12"/>
      <c r="C3" s="41">
        <f>IF(DAY(MaiDom1)=1,MaiDom1-6,MaiDom1+1)</f>
        <v>45774</v>
      </c>
      <c r="D3" s="41">
        <f>IF(DAY(MaiDom1)=1,MaiDom1-5,MaiDom1+2)</f>
        <v>45775</v>
      </c>
      <c r="E3" s="41">
        <f>IF(DAY(MaiDom1)=1,MaiDom1-4,MaiDom1+3)</f>
        <v>45776</v>
      </c>
      <c r="F3" s="41">
        <f>IF(DAY(MaiDom1)=1,MaiDom1-3,MaiDom1+4)</f>
        <v>45777</v>
      </c>
      <c r="G3" s="41">
        <f>IF(DAY(MaiDom1)=1,MaiDom1-2,MaiDom1+5)</f>
        <v>45778</v>
      </c>
      <c r="H3" s="41">
        <f>IF(DAY(MaiDom1)=1,MaiDom1-1,MaiDom1+6)</f>
        <v>45779</v>
      </c>
      <c r="I3" s="41">
        <f>IF(DAY(MaiDom1)=1,MaiDom1,MaiDom1+7)</f>
        <v>45780</v>
      </c>
      <c r="J3" s="9"/>
      <c r="K3" s="48"/>
    </row>
    <row r="4" spans="1:12" ht="30" customHeight="1">
      <c r="A4" s="12"/>
      <c r="C4" s="41">
        <f>IF(DAY(MaiDom1)=1,MaiDom1+1,MaiDom1+8)</f>
        <v>45781</v>
      </c>
      <c r="D4" s="41">
        <f>IF(DAY(MaiDom1)=1,MaiDom1+2,MaiDom1+9)</f>
        <v>45782</v>
      </c>
      <c r="E4" s="41">
        <f>IF(DAY(MaiDom1)=1,MaiDom1+3,MaiDom1+10)</f>
        <v>45783</v>
      </c>
      <c r="F4" s="41">
        <f>IF(DAY(MaiDom1)=1,MaiDom1+4,MaiDom1+11)</f>
        <v>45784</v>
      </c>
      <c r="G4" s="41">
        <f>IF(DAY(MaiDom1)=1,MaiDom1+5,MaiDom1+12)</f>
        <v>45785</v>
      </c>
      <c r="H4" s="41">
        <f>IF(DAY(MaiDom1)=1,MaiDom1+6,MaiDom1+13)</f>
        <v>45786</v>
      </c>
      <c r="I4" s="41">
        <f>IF(DAY(MaiDom1)=1,MaiDom1+7,MaiDom1+14)</f>
        <v>45787</v>
      </c>
      <c r="J4" s="9"/>
      <c r="K4" s="48"/>
    </row>
    <row r="5" spans="1:12" ht="30" customHeight="1">
      <c r="A5" s="12"/>
      <c r="C5" s="41">
        <f>IF(DAY(MaiDom1)=1,MaiDom1+8,MaiDom1+15)</f>
        <v>45788</v>
      </c>
      <c r="D5" s="41">
        <f>IF(DAY(MaiDom1)=1,MaiDom1+9,MaiDom1+16)</f>
        <v>45789</v>
      </c>
      <c r="E5" s="41">
        <f>IF(DAY(MaiDom1)=1,MaiDom1+10,MaiDom1+17)</f>
        <v>45790</v>
      </c>
      <c r="F5" s="41">
        <f>IF(DAY(MaiDom1)=1,MaiDom1+11,MaiDom1+18)</f>
        <v>45791</v>
      </c>
      <c r="G5" s="41">
        <f>IF(DAY(MaiDom1)=1,MaiDom1+12,MaiDom1+19)</f>
        <v>45792</v>
      </c>
      <c r="H5" s="41">
        <f>IF(DAY(MaiDom1)=1,MaiDom1+13,MaiDom1+20)</f>
        <v>45793</v>
      </c>
      <c r="I5" s="41">
        <f>IF(DAY(MaiDom1)=1,MaiDom1+14,MaiDom1+21)</f>
        <v>45794</v>
      </c>
      <c r="J5" s="9"/>
      <c r="K5" s="48"/>
    </row>
    <row r="6" spans="1:12" ht="30" customHeight="1">
      <c r="A6" s="12"/>
      <c r="C6" s="41">
        <f>IF(DAY(MaiDom1)=1,MaiDom1+15,MaiDom1+22)</f>
        <v>45795</v>
      </c>
      <c r="D6" s="41">
        <f>IF(DAY(MaiDom1)=1,MaiDom1+16,MaiDom1+23)</f>
        <v>45796</v>
      </c>
      <c r="E6" s="41">
        <f>IF(DAY(MaiDom1)=1,MaiDom1+17,MaiDom1+24)</f>
        <v>45797</v>
      </c>
      <c r="F6" s="41">
        <f>IF(DAY(MaiDom1)=1,MaiDom1+18,MaiDom1+25)</f>
        <v>45798</v>
      </c>
      <c r="G6" s="41">
        <f>IF(DAY(MaiDom1)=1,MaiDom1+19,MaiDom1+26)</f>
        <v>45799</v>
      </c>
      <c r="H6" s="41">
        <f>IF(DAY(MaiDom1)=1,MaiDom1+20,MaiDom1+27)</f>
        <v>45800</v>
      </c>
      <c r="I6" s="41">
        <f>IF(DAY(MaiDom1)=1,MaiDom1+21,MaiDom1+28)</f>
        <v>45801</v>
      </c>
      <c r="J6" s="9"/>
      <c r="K6" s="48"/>
    </row>
    <row r="7" spans="1:12" ht="30" customHeight="1">
      <c r="A7" s="12"/>
      <c r="C7" s="41">
        <f>IF(DAY(MaiDom1)=1,MaiDom1+22,MaiDom1+29)</f>
        <v>45802</v>
      </c>
      <c r="D7" s="41">
        <f>IF(DAY(MaiDom1)=1,MaiDom1+23,MaiDom1+30)</f>
        <v>45803</v>
      </c>
      <c r="E7" s="41">
        <f>IF(DAY(MaiDom1)=1,MaiDom1+24,MaiDom1+31)</f>
        <v>45804</v>
      </c>
      <c r="F7" s="41">
        <f>IF(DAY(MaiDom1)=1,MaiDom1+25,MaiDom1+32)</f>
        <v>45805</v>
      </c>
      <c r="G7" s="41">
        <f>IF(DAY(MaiDom1)=1,MaiDom1+26,MaiDom1+33)</f>
        <v>45806</v>
      </c>
      <c r="H7" s="41">
        <f>IF(DAY(MaiDom1)=1,MaiDom1+27,MaiDom1+34)</f>
        <v>45807</v>
      </c>
      <c r="I7" s="41">
        <f>IF(DAY(MaiDom1)=1,MaiDom1+28,MaiDom1+35)</f>
        <v>45808</v>
      </c>
      <c r="J7" s="21"/>
      <c r="K7" s="48"/>
      <c r="L7" s="17"/>
    </row>
    <row r="8" spans="1:12" ht="30" customHeight="1">
      <c r="A8" s="12"/>
      <c r="B8" s="17"/>
      <c r="C8" s="41">
        <f>IF(DAY(MaiDom1)=1,MaiDom1+29,MaiDom1+36)</f>
        <v>45809</v>
      </c>
      <c r="D8" s="41">
        <f>IF(DAY(MaiDom1)=1,MaiDom1+30,MaiDom1+37)</f>
        <v>45810</v>
      </c>
      <c r="E8" s="41">
        <f>IF(DAY(MaiDom1)=1,MaiDom1+31,MaiDom1+38)</f>
        <v>45811</v>
      </c>
      <c r="F8" s="41">
        <f>IF(DAY(MaiDom1)=1,MaiDom1+32,MaiDom1+39)</f>
        <v>45812</v>
      </c>
      <c r="G8" s="41">
        <f>IF(DAY(MaiDom1)=1,MaiDom1+33,MaiDom1+40)</f>
        <v>45813</v>
      </c>
      <c r="H8" s="41">
        <f>IF(DAY(MaiDom1)=1,MaiDom1+34,MaiDom1+41)</f>
        <v>45814</v>
      </c>
      <c r="I8" s="41">
        <f>IF(DAY(MaiDom1)=1,MaiDom1+35,MaiDom1+42)</f>
        <v>45815</v>
      </c>
      <c r="J8" s="9" t="s">
        <v>16</v>
      </c>
      <c r="K8" s="48"/>
    </row>
    <row r="9" spans="1:12" ht="30" customHeight="1">
      <c r="A9" s="12"/>
      <c r="C9" s="4"/>
      <c r="D9" s="4"/>
      <c r="E9" s="4"/>
      <c r="F9" s="4"/>
      <c r="G9" s="4"/>
      <c r="H9" s="4"/>
      <c r="I9" s="4"/>
      <c r="J9" s="9"/>
      <c r="K9" s="48"/>
    </row>
    <row r="10" spans="1:12" ht="30" customHeight="1">
      <c r="A10" s="12"/>
      <c r="B10" s="16" t="s">
        <v>1</v>
      </c>
      <c r="C10" s="8"/>
      <c r="D10" s="8"/>
      <c r="E10" s="8"/>
      <c r="F10" s="8"/>
      <c r="G10" s="8"/>
      <c r="H10" s="8"/>
      <c r="I10" s="8"/>
      <c r="J10" s="9"/>
      <c r="K10" s="48"/>
    </row>
    <row r="11" spans="1:12" ht="30" customHeight="1">
      <c r="A11" s="25"/>
      <c r="B11" s="13" t="s">
        <v>2</v>
      </c>
      <c r="C11" s="51" t="s">
        <v>11</v>
      </c>
      <c r="D11" s="52"/>
      <c r="E11" s="51" t="s">
        <v>17</v>
      </c>
      <c r="F11" s="52"/>
      <c r="G11" s="51" t="s">
        <v>19</v>
      </c>
      <c r="H11" s="52"/>
      <c r="I11" s="3" t="s">
        <v>20</v>
      </c>
      <c r="J11" s="9"/>
      <c r="K11" s="48"/>
    </row>
    <row r="12" spans="1:12" ht="30" customHeight="1">
      <c r="A12" s="25"/>
      <c r="B12" s="44"/>
      <c r="C12" s="53"/>
      <c r="D12" s="53"/>
      <c r="E12" s="53"/>
      <c r="F12" s="53"/>
      <c r="G12" s="53"/>
      <c r="H12" s="53"/>
      <c r="I12" s="46"/>
      <c r="J12" s="9"/>
      <c r="K12" s="48"/>
    </row>
    <row r="13" spans="1:12" ht="30" customHeight="1">
      <c r="A13" s="25"/>
      <c r="B13" s="26"/>
      <c r="C13" s="54"/>
      <c r="D13" s="54"/>
      <c r="E13" s="54"/>
      <c r="F13" s="54"/>
      <c r="G13" s="54"/>
      <c r="H13" s="54"/>
      <c r="I13" s="31"/>
      <c r="J13" s="21"/>
      <c r="K13" s="48"/>
      <c r="L13" s="17"/>
    </row>
    <row r="14" spans="1:12" ht="30" customHeight="1">
      <c r="A14" s="25"/>
      <c r="B14" s="44"/>
      <c r="C14" s="53"/>
      <c r="D14" s="53"/>
      <c r="E14" s="53"/>
      <c r="F14" s="53"/>
      <c r="G14" s="53"/>
      <c r="H14" s="53"/>
      <c r="I14" s="46"/>
      <c r="J14" s="36" t="s">
        <v>17</v>
      </c>
      <c r="K14" s="48"/>
    </row>
    <row r="15" spans="1:12" ht="30" customHeight="1">
      <c r="A15" s="25"/>
      <c r="B15" s="26"/>
      <c r="C15" s="54"/>
      <c r="D15" s="54"/>
      <c r="E15" s="54"/>
      <c r="F15" s="54"/>
      <c r="G15" s="54"/>
      <c r="H15" s="54"/>
      <c r="I15" s="31"/>
      <c r="J15" s="9"/>
      <c r="K15" s="48"/>
    </row>
    <row r="16" spans="1:12" ht="30" customHeight="1">
      <c r="A16" s="25"/>
      <c r="B16" s="44"/>
      <c r="C16" s="53"/>
      <c r="D16" s="53"/>
      <c r="E16" s="53"/>
      <c r="F16" s="53"/>
      <c r="G16" s="53"/>
      <c r="H16" s="53"/>
      <c r="I16" s="47"/>
      <c r="J16" s="9"/>
      <c r="K16" s="48"/>
    </row>
    <row r="17" spans="1:12" ht="30" customHeight="1">
      <c r="A17" s="25"/>
      <c r="B17" s="26"/>
      <c r="C17" s="54"/>
      <c r="D17" s="54"/>
      <c r="E17" s="54"/>
      <c r="F17" s="54"/>
      <c r="G17" s="54"/>
      <c r="H17" s="54"/>
      <c r="I17" s="31"/>
      <c r="J17" s="9"/>
      <c r="K17" s="48"/>
    </row>
    <row r="18" spans="1:12" ht="30" customHeight="1">
      <c r="A18" s="25"/>
      <c r="B18" s="44"/>
      <c r="C18" s="53"/>
      <c r="D18" s="53"/>
      <c r="E18" s="53"/>
      <c r="F18" s="53"/>
      <c r="G18" s="53"/>
      <c r="H18" s="53"/>
      <c r="I18" s="46"/>
      <c r="J18" s="9"/>
      <c r="K18" s="48"/>
    </row>
    <row r="19" spans="1:12" ht="30" customHeight="1">
      <c r="A19" s="25"/>
      <c r="B19" s="26"/>
      <c r="C19" s="54"/>
      <c r="D19" s="54"/>
      <c r="E19" s="54"/>
      <c r="F19" s="54"/>
      <c r="G19" s="54"/>
      <c r="H19" s="54"/>
      <c r="I19" s="32"/>
      <c r="J19" s="21"/>
      <c r="K19" s="48"/>
      <c r="L19" s="17"/>
    </row>
    <row r="20" spans="1:12" ht="30" customHeight="1">
      <c r="A20" s="25"/>
      <c r="B20" s="44"/>
      <c r="C20" s="53"/>
      <c r="D20" s="53"/>
      <c r="E20" s="53"/>
      <c r="F20" s="53"/>
      <c r="G20" s="53"/>
      <c r="H20" s="53"/>
      <c r="I20" s="46"/>
      <c r="J20" s="9" t="s">
        <v>18</v>
      </c>
      <c r="K20" s="48"/>
    </row>
    <row r="21" spans="1:12" ht="30" customHeight="1">
      <c r="A21" s="25"/>
      <c r="B21" s="26"/>
      <c r="C21" s="54"/>
      <c r="D21" s="54"/>
      <c r="E21" s="54"/>
      <c r="F21" s="54"/>
      <c r="G21" s="54"/>
      <c r="H21" s="54"/>
      <c r="I21" s="31"/>
      <c r="J21" s="9"/>
      <c r="K21" s="48"/>
    </row>
    <row r="22" spans="1:12" ht="30" customHeight="1">
      <c r="A22" s="25"/>
      <c r="B22" s="44"/>
      <c r="C22" s="53"/>
      <c r="D22" s="53"/>
      <c r="E22" s="53"/>
      <c r="F22" s="53"/>
      <c r="G22" s="53"/>
      <c r="H22" s="53"/>
      <c r="I22" s="46"/>
      <c r="J22" s="9"/>
      <c r="K22" s="48"/>
    </row>
    <row r="23" spans="1:12" ht="30" customHeight="1">
      <c r="A23" s="25"/>
      <c r="B23" s="26"/>
      <c r="C23" s="54"/>
      <c r="D23" s="54"/>
      <c r="E23" s="54"/>
      <c r="F23" s="54"/>
      <c r="G23" s="54"/>
      <c r="H23" s="54"/>
      <c r="I23" s="31"/>
      <c r="J23" s="9"/>
      <c r="K23" s="48"/>
    </row>
    <row r="24" spans="1:12" ht="30" customHeight="1">
      <c r="A24" s="25"/>
      <c r="B24" s="44"/>
      <c r="C24" s="53"/>
      <c r="D24" s="53"/>
      <c r="E24" s="53"/>
      <c r="F24" s="53"/>
      <c r="G24" s="53"/>
      <c r="H24" s="53"/>
      <c r="I24" s="46"/>
      <c r="J24" s="9"/>
      <c r="K24" s="48"/>
    </row>
    <row r="25" spans="1:12" ht="30" customHeight="1">
      <c r="A25" s="25"/>
      <c r="B25" s="26"/>
      <c r="C25" s="54"/>
      <c r="D25" s="54"/>
      <c r="E25" s="54"/>
      <c r="F25" s="54"/>
      <c r="G25" s="54"/>
      <c r="H25" s="54"/>
      <c r="I25" s="31"/>
      <c r="J25" s="21"/>
      <c r="K25" s="48"/>
      <c r="L25" s="17"/>
    </row>
    <row r="26" spans="1:12" ht="30" customHeight="1">
      <c r="A26" s="25"/>
      <c r="B26" s="44"/>
      <c r="C26" s="53"/>
      <c r="D26" s="53"/>
      <c r="E26" s="53"/>
      <c r="F26" s="53"/>
      <c r="G26" s="53"/>
      <c r="H26" s="53"/>
      <c r="I26" s="46"/>
      <c r="J26" s="9" t="s">
        <v>20</v>
      </c>
      <c r="K26" s="48"/>
    </row>
    <row r="27" spans="1:12" ht="30" customHeight="1">
      <c r="A27" s="25"/>
      <c r="B27" s="26"/>
      <c r="C27" s="54"/>
      <c r="D27" s="54"/>
      <c r="E27" s="54"/>
      <c r="F27" s="54"/>
      <c r="G27" s="54"/>
      <c r="H27" s="54"/>
      <c r="I27" s="31"/>
      <c r="J27" s="9"/>
      <c r="K27" s="48"/>
    </row>
    <row r="28" spans="1:12" ht="30" customHeight="1">
      <c r="A28" s="25"/>
      <c r="B28" s="44"/>
      <c r="C28" s="53"/>
      <c r="D28" s="53"/>
      <c r="E28" s="53"/>
      <c r="F28" s="53"/>
      <c r="G28" s="53"/>
      <c r="H28" s="53"/>
      <c r="I28" s="46"/>
      <c r="J28" s="9"/>
      <c r="K28" s="48"/>
    </row>
    <row r="29" spans="1:12" ht="30" customHeight="1">
      <c r="A29" s="25"/>
      <c r="B29" s="26"/>
      <c r="C29" s="54"/>
      <c r="D29" s="54"/>
      <c r="E29" s="54"/>
      <c r="F29" s="54"/>
      <c r="G29" s="54"/>
      <c r="H29" s="54"/>
      <c r="I29" s="31"/>
      <c r="J29" s="9"/>
      <c r="K29" s="48"/>
    </row>
    <row r="30" spans="1:12" ht="30" customHeight="1">
      <c r="A30" s="25"/>
      <c r="B30" s="44"/>
      <c r="C30" s="53"/>
      <c r="D30" s="53"/>
      <c r="E30" s="53"/>
      <c r="F30" s="53"/>
      <c r="G30" s="53"/>
      <c r="H30" s="53"/>
      <c r="I30" s="46"/>
      <c r="J30" s="9"/>
      <c r="K30" s="48"/>
    </row>
    <row r="31" spans="1:12" ht="30" customHeight="1">
      <c r="A31" s="25"/>
      <c r="B31" s="29"/>
      <c r="C31" s="55"/>
      <c r="D31" s="55"/>
      <c r="E31" s="55"/>
      <c r="F31" s="55"/>
      <c r="G31" s="55"/>
      <c r="H31" s="55"/>
      <c r="I31" s="30"/>
      <c r="J31" s="21"/>
      <c r="K31" s="48"/>
    </row>
  </sheetData>
  <mergeCells count="63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</mergeCells>
  <conditionalFormatting sqref="B12:I12 B14:I14 B16:I16 B18:I18 B20:I20 B22:I22 B24:I24 B26:I26 B28:I28 B30:I30">
    <cfRule type="expression" dxfId="63" priority="3">
      <formula>B12&lt;&gt;""</formula>
    </cfRule>
  </conditionalFormatting>
  <conditionalFormatting sqref="B12:I31">
    <cfRule type="expression" dxfId="62" priority="1">
      <formula>COLUMN(B11)&gt;2</formula>
    </cfRule>
  </conditionalFormatting>
  <conditionalFormatting sqref="B13:I13 B15:I15 B17:I17 B19:I19 B21:I21 B23:I23 B25:I25 B27:I27 B29:I29 B31:I31">
    <cfRule type="expression" dxfId="61" priority="4">
      <formula>B13&lt;&gt;""</formula>
    </cfRule>
  </conditionalFormatting>
  <conditionalFormatting sqref="B13:I13 B15:I15 B17:I17 B19:I19 B21:I21 B23:I23 B25:I25 B27:I27 B29:I29">
    <cfRule type="expression" dxfId="60" priority="2">
      <formula>COLUMN(B12)&gt;=2</formula>
    </cfRule>
  </conditionalFormatting>
  <conditionalFormatting sqref="C3:H3">
    <cfRule type="expression" dxfId="59" priority="6" stopIfTrue="1">
      <formula>DAY(C3)&gt;8</formula>
    </cfRule>
  </conditionalFormatting>
  <conditionalFormatting sqref="C3:I8">
    <cfRule type="expression" dxfId="58" priority="7">
      <formula>VLOOKUP(DAY(C3),DiasTarefa,1,FALSE)=DAY(C3)</formula>
    </cfRule>
  </conditionalFormatting>
  <conditionalFormatting sqref="C7:I8">
    <cfRule type="expression" dxfId="57" priority="5" stopIfTrue="1">
      <formula>AND(DAY(C7)&gt;=1,DAY(C7)&lt;=15)</formula>
    </cfRule>
  </conditionalFormatting>
  <dataValidations count="16">
    <dataValidation allowBlank="1" showInputMessage="1" showErrorMessage="1" prompt="Insira a aula nesta linha das colunas B a I" sqref="B13" xr:uid="{00000000-0002-0000-0400-000000000000}"/>
    <dataValidation allowBlank="1" showInputMessage="1" showErrorMessage="1" prompt="Insira o horário nesta linha das colunas B a I" sqref="B12" xr:uid="{00000000-0002-0000-0400-000001000000}"/>
    <dataValidation allowBlank="1" showInputMessage="1" showErrorMessage="1" prompt="Se esta linha contiver um número menor que o número ou a linha de números anterior, ela conterá datas para o próximo mês do calendário" sqref="C8" xr:uid="{00000000-0002-0000-0400-000002000000}"/>
    <dataValidation allowBlank="1" showInputMessage="1" showErrorMessage="1" prompt="Se esta célula não contiver o número 1, será um dia de um mês anterior. Células C3:I8 contêm datas para o mês atual" sqref="C3" xr:uid="{00000000-0002-0000-0400-000003000000}"/>
    <dataValidation allowBlank="1" showInputMessage="1" showErrorMessage="1" prompt="Células C2:I2 contêm dias da semana" sqref="C2:D2" xr:uid="{162D8F82-2ED2-4CB2-AC3C-41213B19DE0C}"/>
    <dataValidation allowBlank="1" showInputMessage="1" showErrorMessage="1" prompt="Prepare um cronograma semanal e crie uma lista de tarefas nesta planilha. As tarefas são destacadas automaticamente no calendário mensal para o ano inserido em B1 na planilha de janeiro" sqref="A1" xr:uid="{00000000-0002-0000-0400-000005000000}"/>
    <dataValidation allowBlank="1" showInputMessage="1" showErrorMessage="1" prompt="Ano civil atualizado automaticamente. Para alterar o ano, atualize a célula B1 na planilha de janeiro" sqref="B1" xr:uid="{00000000-0002-0000-0400-000006000000}"/>
    <dataValidation allowBlank="1" showInputMessage="1" showErrorMessage="1" prompt="O calendário de maio destaca automaticamente as entradas da lista de tarefas para o mês. As fontes mais escuras são tarefas. As fontes mais claras são os dias que pertencem ao mês anterior ou seguinte" sqref="B2" xr:uid="{00000000-0002-0000-0400-000007000000}"/>
    <dataValidation allowBlank="1" showInputMessage="1" showErrorMessage="1" prompt="Os dias da semana são agrupados nesta coluna, com 6 linhas para as tarefas de cada dia da semana do mês agrupado. Insira novas linhas para adicionar mais tarefas. O calendário à esquerda destacará os itens" sqref="J1" xr:uid="{00000000-0002-0000-0400-000008000000}"/>
    <dataValidation allowBlank="1" showInputMessage="1" showErrorMessage="1" prompt="Insira os detalhes da tarefa nesta coluna, que corresponde ao dia da semana na coluna J e ao dia na coluna K para o mês do calendário à esquerda" sqref="L1" xr:uid="{E8E78500-A5BF-4671-AF52-FC90073C9294}"/>
    <dataValidation allowBlank="1" showInputMessage="1" showErrorMessage="1" prompt="Insira o dia do mês da tarefa nesta coluna, que corresponde ao dia da semana na coluna J. Essa data destacará a tarefa no calendário à esquerda" sqref="K1" xr:uid="{00000000-0002-0000-0400-00000A000000}"/>
    <dataValidation allowBlank="1" showInputMessage="1" showErrorMessage="1" prompt="Os dias da semana estão nesta linha, de segunda a sexta" sqref="B11" xr:uid="{00000000-0002-0000-0400-00000B000000}"/>
    <dataValidation allowBlank="1" showInputMessage="1" showErrorMessage="1" prompt="Insira o horário da aula e, abaixo, em uma nova linha, o nome da aula para cada dia da semana nas colunas de B a I. Repita esse padrão para todas as aulas nas linhas subsequentes" sqref="B10" xr:uid="{00000000-0002-0000-0400-00000C000000}"/>
    <dataValidation allowBlank="1" showInputMessage="1" showErrorMessage="1" prompt="O nome da aula vai nessa linha, começando na célula à direita" sqref="A13 A15 A17 A19 A21 A23 A25 A27 A29 A31" xr:uid="{438F3FAF-885E-49F9-880C-C08723CBDDAD}"/>
    <dataValidation allowBlank="1" showInputMessage="1" showErrorMessage="1" prompt="O horário da aula vai nessa linha,começando na célula à direita_x000a_" sqref="A12 A14 A16 A18 A20 A22 A24 A26 A28 A30" xr:uid="{D0622ED2-5F81-42CD-942F-B37325E5DC5C}"/>
    <dataValidation allowBlank="1" showInputMessage="1" showErrorMessage="1" prompt="O dia da semana vai nessa linha, começando na célula B11" sqref="A11" xr:uid="{616A9345-5B44-4CE9-BB66-F33D33B33AF5}"/>
  </dataValidations>
  <printOptions horizontalCentered="1" verticalCentered="1"/>
  <pageMargins left="0.5" right="0.5" top="0.5" bottom="0.5" header="0.3" footer="0.3"/>
  <pageSetup paperSize="9" scale="58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1:L31"/>
  <sheetViews>
    <sheetView showGridLines="0" zoomScaleNormal="100" zoomScalePageLayoutView="84" workbookViewId="0">
      <selection activeCell="L1" sqref="L1"/>
    </sheetView>
  </sheetViews>
  <sheetFormatPr defaultColWidth="8.625" defaultRowHeight="30" customHeight="1"/>
  <cols>
    <col min="1" max="1" width="2.625" customWidth="1"/>
    <col min="2" max="2" width="20.625" customWidth="1"/>
    <col min="3" max="8" width="10.625" customWidth="1"/>
    <col min="9" max="9" width="20.625" customWidth="1"/>
    <col min="10" max="11" width="10.625" customWidth="1"/>
    <col min="12" max="12" width="70.625" customWidth="1"/>
    <col min="13" max="13" width="2.625" customWidth="1"/>
  </cols>
  <sheetData>
    <row r="1" spans="1:12" ht="30" customHeight="1">
      <c r="B1" s="11">
        <f>AnoCivil</f>
        <v>2025</v>
      </c>
      <c r="J1" s="20" t="s">
        <v>22</v>
      </c>
      <c r="K1" s="20" t="s">
        <v>23</v>
      </c>
      <c r="L1" s="10" t="s">
        <v>36</v>
      </c>
    </row>
    <row r="2" spans="1:12" ht="30" customHeight="1">
      <c r="A2" s="12"/>
      <c r="B2" s="39" t="s">
        <v>34</v>
      </c>
      <c r="C2" s="6" t="s">
        <v>10</v>
      </c>
      <c r="D2" s="6" t="s">
        <v>2</v>
      </c>
      <c r="E2" s="6" t="s">
        <v>16</v>
      </c>
      <c r="F2" s="6" t="s">
        <v>17</v>
      </c>
      <c r="G2" s="6" t="s">
        <v>18</v>
      </c>
      <c r="H2" s="6" t="s">
        <v>20</v>
      </c>
      <c r="I2" s="6" t="s">
        <v>21</v>
      </c>
      <c r="J2" s="9" t="s">
        <v>2</v>
      </c>
      <c r="K2" s="48"/>
    </row>
    <row r="3" spans="1:12" ht="30" customHeight="1">
      <c r="A3" s="12"/>
      <c r="C3" s="41">
        <f>IF(DAY(JunDom1)=1,JunDom1-6,JunDom1+1)</f>
        <v>45809</v>
      </c>
      <c r="D3" s="41">
        <f>IF(DAY(JunDom1)=1,JunDom1-5,JunDom1+2)</f>
        <v>45810</v>
      </c>
      <c r="E3" s="41">
        <f>IF(DAY(JunDom1)=1,JunDom1-4,JunDom1+3)</f>
        <v>45811</v>
      </c>
      <c r="F3" s="41">
        <f>IF(DAY(JunDom1)=1,JunDom1-3,JunDom1+4)</f>
        <v>45812</v>
      </c>
      <c r="G3" s="41">
        <f>IF(DAY(JunDom1)=1,JunDom1-2,JunDom1+5)</f>
        <v>45813</v>
      </c>
      <c r="H3" s="41">
        <f>IF(DAY(JunDom1)=1,JunDom1-1,JunDom1+6)</f>
        <v>45814</v>
      </c>
      <c r="I3" s="41">
        <f>IF(DAY(JunDom1)=1,JunDom1,JunDom1+7)</f>
        <v>45815</v>
      </c>
      <c r="J3" s="9"/>
      <c r="K3" s="48"/>
    </row>
    <row r="4" spans="1:12" ht="30" customHeight="1">
      <c r="A4" s="12"/>
      <c r="C4" s="41">
        <f>IF(DAY(JunDom1)=1,JunDom1+1,JunDom1+8)</f>
        <v>45816</v>
      </c>
      <c r="D4" s="41">
        <f>IF(DAY(JunDom1)=1,JunDom1+2,JunDom1+9)</f>
        <v>45817</v>
      </c>
      <c r="E4" s="41">
        <f>IF(DAY(JunDom1)=1,JunDom1+3,JunDom1+10)</f>
        <v>45818</v>
      </c>
      <c r="F4" s="41">
        <f>IF(DAY(JunDom1)=1,JunDom1+4,JunDom1+11)</f>
        <v>45819</v>
      </c>
      <c r="G4" s="41">
        <f>IF(DAY(JunDom1)=1,JunDom1+5,JunDom1+12)</f>
        <v>45820</v>
      </c>
      <c r="H4" s="41">
        <f>IF(DAY(JunDom1)=1,JunDom1+6,JunDom1+13)</f>
        <v>45821</v>
      </c>
      <c r="I4" s="41">
        <f>IF(DAY(JunDom1)=1,JunDom1+7,JunDom1+14)</f>
        <v>45822</v>
      </c>
      <c r="J4" s="9"/>
      <c r="K4" s="48"/>
    </row>
    <row r="5" spans="1:12" ht="30" customHeight="1">
      <c r="A5" s="12"/>
      <c r="C5" s="41">
        <f>IF(DAY(JunDom1)=1,JunDom1+8,JunDom1+15)</f>
        <v>45823</v>
      </c>
      <c r="D5" s="41">
        <f>IF(DAY(JunDom1)=1,JunDom1+9,JunDom1+16)</f>
        <v>45824</v>
      </c>
      <c r="E5" s="41">
        <f>IF(DAY(JunDom1)=1,JunDom1+10,JunDom1+17)</f>
        <v>45825</v>
      </c>
      <c r="F5" s="41">
        <f>IF(DAY(JunDom1)=1,JunDom1+11,JunDom1+18)</f>
        <v>45826</v>
      </c>
      <c r="G5" s="41">
        <f>IF(DAY(JunDom1)=1,JunDom1+12,JunDom1+19)</f>
        <v>45827</v>
      </c>
      <c r="H5" s="41">
        <f>IF(DAY(JunDom1)=1,JunDom1+13,JunDom1+20)</f>
        <v>45828</v>
      </c>
      <c r="I5" s="41">
        <f>IF(DAY(JunDom1)=1,JunDom1+14,JunDom1+21)</f>
        <v>45829</v>
      </c>
      <c r="J5" s="9"/>
      <c r="K5" s="48"/>
    </row>
    <row r="6" spans="1:12" ht="30" customHeight="1">
      <c r="A6" s="12"/>
      <c r="C6" s="41">
        <f>IF(DAY(JunDom1)=1,JunDom1+15,JunDom1+22)</f>
        <v>45830</v>
      </c>
      <c r="D6" s="41">
        <f>IF(DAY(JunDom1)=1,JunDom1+16,JunDom1+23)</f>
        <v>45831</v>
      </c>
      <c r="E6" s="41">
        <f>IF(DAY(JunDom1)=1,JunDom1+17,JunDom1+24)</f>
        <v>45832</v>
      </c>
      <c r="F6" s="41">
        <f>IF(DAY(JunDom1)=1,JunDom1+18,JunDom1+25)</f>
        <v>45833</v>
      </c>
      <c r="G6" s="41">
        <f>IF(DAY(JunDom1)=1,JunDom1+19,JunDom1+26)</f>
        <v>45834</v>
      </c>
      <c r="H6" s="41">
        <f>IF(DAY(JunDom1)=1,JunDom1+20,JunDom1+27)</f>
        <v>45835</v>
      </c>
      <c r="I6" s="41">
        <f>IF(DAY(JunDom1)=1,JunDom1+21,JunDom1+28)</f>
        <v>45836</v>
      </c>
      <c r="J6" s="9"/>
      <c r="K6" s="48"/>
    </row>
    <row r="7" spans="1:12" ht="30" customHeight="1">
      <c r="A7" s="12"/>
      <c r="C7" s="41">
        <f>IF(DAY(JunDom1)=1,JunDom1+22,JunDom1+29)</f>
        <v>45837</v>
      </c>
      <c r="D7" s="41">
        <f>IF(DAY(JunDom1)=1,JunDom1+23,JunDom1+30)</f>
        <v>45838</v>
      </c>
      <c r="E7" s="41">
        <f>IF(DAY(JunDom1)=1,JunDom1+24,JunDom1+31)</f>
        <v>45839</v>
      </c>
      <c r="F7" s="41">
        <f>IF(DAY(JunDom1)=1,JunDom1+25,JunDom1+32)</f>
        <v>45840</v>
      </c>
      <c r="G7" s="41">
        <f>IF(DAY(JunDom1)=1,JunDom1+26,JunDom1+33)</f>
        <v>45841</v>
      </c>
      <c r="H7" s="41">
        <f>IF(DAY(JunDom1)=1,JunDom1+27,JunDom1+34)</f>
        <v>45842</v>
      </c>
      <c r="I7" s="41">
        <f>IF(DAY(JunDom1)=1,JunDom1+28,JunDom1+35)</f>
        <v>45843</v>
      </c>
      <c r="J7" s="40"/>
      <c r="K7" s="61"/>
    </row>
    <row r="8" spans="1:12" ht="30" customHeight="1">
      <c r="A8" s="12"/>
      <c r="B8" s="17"/>
      <c r="C8" s="41">
        <f>IF(DAY(JunDom1)=1,JunDom1+29,JunDom1+36)</f>
        <v>45844</v>
      </c>
      <c r="D8" s="41">
        <f>IF(DAY(JunDom1)=1,JunDom1+30,JunDom1+37)</f>
        <v>45845</v>
      </c>
      <c r="E8" s="41">
        <f>IF(DAY(JunDom1)=1,JunDom1+31,JunDom1+38)</f>
        <v>45846</v>
      </c>
      <c r="F8" s="41">
        <f>IF(DAY(JunDom1)=1,JunDom1+32,JunDom1+39)</f>
        <v>45847</v>
      </c>
      <c r="G8" s="41">
        <f>IF(DAY(JunDom1)=1,JunDom1+33,JunDom1+40)</f>
        <v>45848</v>
      </c>
      <c r="H8" s="41">
        <f>IF(DAY(JunDom1)=1,JunDom1+34,JunDom1+41)</f>
        <v>45849</v>
      </c>
      <c r="I8" s="41">
        <f>IF(DAY(JunDom1)=1,JunDom1+35,JunDom1+42)</f>
        <v>45850</v>
      </c>
      <c r="J8" s="9" t="s">
        <v>16</v>
      </c>
      <c r="K8" s="48"/>
    </row>
    <row r="9" spans="1:12" ht="30" customHeight="1">
      <c r="A9" s="12"/>
      <c r="C9" s="4"/>
      <c r="D9" s="4"/>
      <c r="E9" s="4"/>
      <c r="F9" s="4"/>
      <c r="G9" s="4"/>
      <c r="H9" s="4"/>
      <c r="I9" s="4"/>
      <c r="J9" s="9"/>
      <c r="K9" s="48"/>
    </row>
    <row r="10" spans="1:12" ht="30" customHeight="1">
      <c r="A10" s="12"/>
      <c r="B10" s="16" t="s">
        <v>1</v>
      </c>
      <c r="C10" s="8"/>
      <c r="D10" s="8"/>
      <c r="E10" s="8"/>
      <c r="F10" s="8"/>
      <c r="G10" s="8"/>
      <c r="H10" s="8"/>
      <c r="I10" s="8"/>
      <c r="J10" s="9"/>
      <c r="K10" s="48"/>
    </row>
    <row r="11" spans="1:12" ht="30" customHeight="1">
      <c r="A11" s="25"/>
      <c r="B11" s="13" t="s">
        <v>2</v>
      </c>
      <c r="C11" s="51" t="s">
        <v>11</v>
      </c>
      <c r="D11" s="52"/>
      <c r="E11" s="51" t="s">
        <v>17</v>
      </c>
      <c r="F11" s="52"/>
      <c r="G11" s="51" t="s">
        <v>19</v>
      </c>
      <c r="H11" s="52"/>
      <c r="I11" s="3" t="s">
        <v>20</v>
      </c>
      <c r="J11" s="9"/>
      <c r="K11" s="48"/>
    </row>
    <row r="12" spans="1:12" ht="30" customHeight="1">
      <c r="A12" s="25"/>
      <c r="B12" s="44"/>
      <c r="C12" s="53"/>
      <c r="D12" s="53"/>
      <c r="E12" s="53"/>
      <c r="F12" s="53"/>
      <c r="G12" s="53"/>
      <c r="H12" s="53"/>
      <c r="I12" s="46"/>
      <c r="J12" s="9"/>
      <c r="K12" s="48"/>
    </row>
    <row r="13" spans="1:12" ht="30" customHeight="1">
      <c r="A13" s="25"/>
      <c r="B13" s="26"/>
      <c r="C13" s="54"/>
      <c r="D13" s="54"/>
      <c r="E13" s="54"/>
      <c r="F13" s="54"/>
      <c r="G13" s="54"/>
      <c r="H13" s="54"/>
      <c r="I13" s="31"/>
      <c r="J13" s="1"/>
      <c r="K13" s="49"/>
      <c r="L13" s="18"/>
    </row>
    <row r="14" spans="1:12" ht="30" customHeight="1">
      <c r="A14" s="25"/>
      <c r="B14" s="44"/>
      <c r="C14" s="53"/>
      <c r="D14" s="53"/>
      <c r="E14" s="53"/>
      <c r="F14" s="53"/>
      <c r="G14" s="53"/>
      <c r="H14" s="53"/>
      <c r="I14" s="46"/>
      <c r="J14" s="9" t="s">
        <v>17</v>
      </c>
      <c r="K14" s="48"/>
    </row>
    <row r="15" spans="1:12" ht="30" customHeight="1">
      <c r="A15" s="25"/>
      <c r="B15" s="26"/>
      <c r="C15" s="54"/>
      <c r="D15" s="54"/>
      <c r="E15" s="54"/>
      <c r="F15" s="54"/>
      <c r="G15" s="54"/>
      <c r="H15" s="54"/>
      <c r="I15" s="31"/>
      <c r="J15" s="9"/>
      <c r="K15" s="48"/>
    </row>
    <row r="16" spans="1:12" ht="30" customHeight="1">
      <c r="A16" s="25"/>
      <c r="B16" s="44"/>
      <c r="C16" s="53"/>
      <c r="D16" s="53"/>
      <c r="E16" s="53"/>
      <c r="F16" s="53"/>
      <c r="G16" s="53"/>
      <c r="H16" s="53"/>
      <c r="I16" s="47"/>
      <c r="J16" s="9"/>
      <c r="K16" s="48"/>
    </row>
    <row r="17" spans="1:12" ht="30" customHeight="1">
      <c r="A17" s="25"/>
      <c r="B17" s="26"/>
      <c r="C17" s="54"/>
      <c r="D17" s="54"/>
      <c r="E17" s="54"/>
      <c r="F17" s="54"/>
      <c r="G17" s="54"/>
      <c r="H17" s="54"/>
      <c r="I17" s="31"/>
      <c r="J17" s="9"/>
      <c r="K17" s="48"/>
    </row>
    <row r="18" spans="1:12" ht="30" customHeight="1">
      <c r="A18" s="25"/>
      <c r="B18" s="44"/>
      <c r="C18" s="53"/>
      <c r="D18" s="53"/>
      <c r="E18" s="53"/>
      <c r="F18" s="53"/>
      <c r="G18" s="53"/>
      <c r="H18" s="53"/>
      <c r="I18" s="46"/>
      <c r="J18" s="9"/>
      <c r="K18" s="48"/>
    </row>
    <row r="19" spans="1:12" ht="30" customHeight="1">
      <c r="A19" s="25"/>
      <c r="B19" s="26"/>
      <c r="C19" s="54"/>
      <c r="D19" s="54"/>
      <c r="E19" s="54"/>
      <c r="F19" s="54"/>
      <c r="G19" s="54"/>
      <c r="H19" s="54"/>
      <c r="I19" s="32"/>
      <c r="J19" s="1"/>
      <c r="K19" s="49"/>
      <c r="L19" s="24"/>
    </row>
    <row r="20" spans="1:12" ht="30" customHeight="1">
      <c r="A20" s="25"/>
      <c r="B20" s="44"/>
      <c r="C20" s="53"/>
      <c r="D20" s="53"/>
      <c r="E20" s="53"/>
      <c r="F20" s="53"/>
      <c r="G20" s="53"/>
      <c r="H20" s="53"/>
      <c r="I20" s="46"/>
      <c r="J20" s="9" t="s">
        <v>18</v>
      </c>
      <c r="K20" s="48"/>
    </row>
    <row r="21" spans="1:12" ht="30" customHeight="1">
      <c r="A21" s="25"/>
      <c r="B21" s="26"/>
      <c r="C21" s="54"/>
      <c r="D21" s="54"/>
      <c r="E21" s="54"/>
      <c r="F21" s="54"/>
      <c r="G21" s="54"/>
      <c r="H21" s="54"/>
      <c r="I21" s="31"/>
      <c r="J21" s="9"/>
      <c r="K21" s="48"/>
    </row>
    <row r="22" spans="1:12" ht="30" customHeight="1">
      <c r="A22" s="25"/>
      <c r="B22" s="44"/>
      <c r="C22" s="53"/>
      <c r="D22" s="53"/>
      <c r="E22" s="53"/>
      <c r="F22" s="53"/>
      <c r="G22" s="53"/>
      <c r="H22" s="53"/>
      <c r="I22" s="46"/>
      <c r="J22" s="9"/>
      <c r="K22" s="48"/>
    </row>
    <row r="23" spans="1:12" ht="30" customHeight="1">
      <c r="A23" s="25"/>
      <c r="B23" s="26"/>
      <c r="C23" s="54"/>
      <c r="D23" s="54"/>
      <c r="E23" s="54"/>
      <c r="F23" s="54"/>
      <c r="G23" s="54"/>
      <c r="H23" s="54"/>
      <c r="I23" s="31"/>
      <c r="J23" s="9"/>
      <c r="K23" s="48"/>
    </row>
    <row r="24" spans="1:12" ht="30" customHeight="1">
      <c r="A24" s="25"/>
      <c r="B24" s="44"/>
      <c r="C24" s="53"/>
      <c r="D24" s="53"/>
      <c r="E24" s="53"/>
      <c r="F24" s="53"/>
      <c r="G24" s="53"/>
      <c r="H24" s="53"/>
      <c r="I24" s="46"/>
      <c r="J24" s="9"/>
      <c r="K24" s="48"/>
    </row>
    <row r="25" spans="1:12" ht="30" customHeight="1">
      <c r="A25" s="25"/>
      <c r="B25" s="26"/>
      <c r="C25" s="54"/>
      <c r="D25" s="54"/>
      <c r="E25" s="54"/>
      <c r="F25" s="54"/>
      <c r="G25" s="54"/>
      <c r="H25" s="54"/>
      <c r="I25" s="31"/>
      <c r="J25" s="1"/>
      <c r="K25" s="49"/>
      <c r="L25" s="24"/>
    </row>
    <row r="26" spans="1:12" ht="30" customHeight="1">
      <c r="A26" s="25"/>
      <c r="B26" s="44"/>
      <c r="C26" s="53"/>
      <c r="D26" s="53"/>
      <c r="E26" s="53"/>
      <c r="F26" s="53"/>
      <c r="G26" s="53"/>
      <c r="H26" s="53"/>
      <c r="I26" s="46"/>
      <c r="J26" s="9" t="s">
        <v>20</v>
      </c>
      <c r="K26" s="48"/>
    </row>
    <row r="27" spans="1:12" ht="30" customHeight="1">
      <c r="A27" s="25"/>
      <c r="B27" s="26"/>
      <c r="C27" s="54"/>
      <c r="D27" s="54"/>
      <c r="E27" s="54"/>
      <c r="F27" s="54"/>
      <c r="G27" s="54"/>
      <c r="H27" s="54"/>
      <c r="I27" s="31"/>
      <c r="J27" s="9"/>
      <c r="K27" s="48"/>
    </row>
    <row r="28" spans="1:12" ht="30" customHeight="1">
      <c r="A28" s="25"/>
      <c r="B28" s="44"/>
      <c r="C28" s="53"/>
      <c r="D28" s="53"/>
      <c r="E28" s="53"/>
      <c r="F28" s="53"/>
      <c r="G28" s="53"/>
      <c r="H28" s="53"/>
      <c r="I28" s="46"/>
      <c r="J28" s="9"/>
      <c r="K28" s="48"/>
    </row>
    <row r="29" spans="1:12" ht="30" customHeight="1">
      <c r="A29" s="25"/>
      <c r="B29" s="26"/>
      <c r="C29" s="54"/>
      <c r="D29" s="54"/>
      <c r="E29" s="54"/>
      <c r="F29" s="54"/>
      <c r="G29" s="54"/>
      <c r="H29" s="54"/>
      <c r="I29" s="31"/>
      <c r="J29" s="9"/>
      <c r="K29" s="48"/>
    </row>
    <row r="30" spans="1:12" ht="30" customHeight="1">
      <c r="A30" s="25"/>
      <c r="B30" s="44"/>
      <c r="C30" s="53"/>
      <c r="D30" s="53"/>
      <c r="E30" s="53"/>
      <c r="F30" s="53"/>
      <c r="G30" s="53"/>
      <c r="H30" s="53"/>
      <c r="I30" s="46"/>
      <c r="J30" s="9"/>
      <c r="K30" s="48"/>
    </row>
    <row r="31" spans="1:12" ht="30" customHeight="1">
      <c r="A31" s="25"/>
      <c r="B31" s="29"/>
      <c r="C31" s="55"/>
      <c r="D31" s="55"/>
      <c r="E31" s="55"/>
      <c r="F31" s="55"/>
      <c r="G31" s="55"/>
      <c r="H31" s="55"/>
      <c r="I31" s="30"/>
      <c r="J31" s="9"/>
      <c r="K31" s="48"/>
    </row>
  </sheetData>
  <mergeCells count="63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</mergeCells>
  <conditionalFormatting sqref="B12:I12 B14:I14 B16:I16 B18:I18 B20:I20 B22:I22 B24:I24 B26:I26 B28:I28 B30:I30">
    <cfRule type="expression" dxfId="56" priority="3">
      <formula>B12&lt;&gt;""</formula>
    </cfRule>
  </conditionalFormatting>
  <conditionalFormatting sqref="B12:I31">
    <cfRule type="expression" dxfId="55" priority="1">
      <formula>COLUMN(B12)&gt;2</formula>
    </cfRule>
  </conditionalFormatting>
  <conditionalFormatting sqref="B13:I13 B15:I15 B17:I17 B19:I19 B21:I21 B23:I23 B25:I25 B27:I27 B29:I29 B31:I31">
    <cfRule type="expression" dxfId="54" priority="4">
      <formula>B13&lt;&gt;""</formula>
    </cfRule>
  </conditionalFormatting>
  <conditionalFormatting sqref="B13:I13 B15:I15 B17:I17 B19:I19 B21:I21 B23:I23 B25:I25 B27:I27 B29:I29">
    <cfRule type="expression" dxfId="53" priority="2">
      <formula>COLUMN(B13)&gt;=2</formula>
    </cfRule>
  </conditionalFormatting>
  <conditionalFormatting sqref="C3:H3">
    <cfRule type="expression" dxfId="52" priority="6" stopIfTrue="1">
      <formula>DAY(C3)&gt;8</formula>
    </cfRule>
  </conditionalFormatting>
  <conditionalFormatting sqref="C3:I8">
    <cfRule type="expression" dxfId="51" priority="7">
      <formula>VLOOKUP(DAY(C3),DiasTarefa,1,FALSE)=DAY(C3)</formula>
    </cfRule>
  </conditionalFormatting>
  <conditionalFormatting sqref="C7:I8">
    <cfRule type="expression" dxfId="50" priority="5" stopIfTrue="1">
      <formula>AND(DAY(C7)&gt;=1,DAY(C7)&lt;=15)</formula>
    </cfRule>
  </conditionalFormatting>
  <dataValidations xWindow="282" yWindow="780" count="16">
    <dataValidation allowBlank="1" showInputMessage="1" showErrorMessage="1" prompt="O calendário de junho destaca automaticamente as entradas da lista de tarefas para o mês. As fontes mais escuras são tarefas. As fontes mais claras são os dias que pertencem ao mês anterior ou seguinte" sqref="B2" xr:uid="{00000000-0002-0000-0500-000000000000}"/>
    <dataValidation allowBlank="1" showInputMessage="1" showErrorMessage="1" prompt="Ano civil atualizado automaticamente. Para alterar o ano, atualize a célula B1 na planilha de janeiro" sqref="B1" xr:uid="{00000000-0002-0000-0500-000001000000}"/>
    <dataValidation allowBlank="1" showInputMessage="1" showErrorMessage="1" prompt="Prepare um cronograma semanal e crie uma lista de tarefas nesta planilha. As tarefas são destacadas automaticamente no calendário mensal para o ano inserido em B1 na planilha de janeiro" sqref="A1" xr:uid="{00000000-0002-0000-0500-000002000000}"/>
    <dataValidation allowBlank="1" showInputMessage="1" showErrorMessage="1" prompt="Células C2:I2 contêm dias da semana" sqref="C2:D2" xr:uid="{81E482CC-3A8E-4C7B-B877-A6C3D5E1F854}"/>
    <dataValidation allowBlank="1" showInputMessage="1" showErrorMessage="1" prompt="Se esta célula não contiver o número 1, será um dia de um mês anterior. Células C3:I8 contêm datas para o mês atual" sqref="C3" xr:uid="{00000000-0002-0000-0500-000004000000}"/>
    <dataValidation allowBlank="1" showInputMessage="1" showErrorMessage="1" prompt="Se esta linha contiver um número menor que o número ou a linha de números anterior, ela conterá datas para o próximo mês do calendário" sqref="C8" xr:uid="{00000000-0002-0000-0500-000005000000}"/>
    <dataValidation allowBlank="1" showInputMessage="1" showErrorMessage="1" prompt="Insira o horário nesta linha das colunas B a I" sqref="B12" xr:uid="{00000000-0002-0000-0500-000006000000}"/>
    <dataValidation allowBlank="1" showInputMessage="1" showErrorMessage="1" prompt="Insira a aula nesta linha das colunas B a I" sqref="B13" xr:uid="{00000000-0002-0000-0500-000007000000}"/>
    <dataValidation allowBlank="1" showInputMessage="1" showErrorMessage="1" prompt="Os dias da semana são agrupados nesta coluna, com 6 linhas para as tarefas de cada dia da semana do mês agrupado. Insira novas linhas para adicionar mais tarefas. O calendário à esquerda destacará os itens" sqref="J1" xr:uid="{00000000-0002-0000-0500-000008000000}"/>
    <dataValidation allowBlank="1" showInputMessage="1" showErrorMessage="1" prompt="Insira os detalhes da tarefa nesta coluna, que corresponde ao dia da semana na coluna J e ao dia na coluna K para o mês do calendário à esquerda" sqref="L1" xr:uid="{1C7ABEA0-3A25-49B0-ABE0-7E98ABFA70EF}"/>
    <dataValidation allowBlank="1" showInputMessage="1" showErrorMessage="1" prompt="Insira o dia do mês da tarefa nesta coluna, que corresponde ao dia da semana na coluna J. Essa data destacará a tarefa no calendário à esquerda" sqref="K1" xr:uid="{00000000-0002-0000-0500-00000A000000}"/>
    <dataValidation allowBlank="1" showInputMessage="1" showErrorMessage="1" prompt="Os dias da semana estão nesta linha, de segunda a sexta" sqref="B11" xr:uid="{00000000-0002-0000-0500-00000B000000}"/>
    <dataValidation allowBlank="1" showInputMessage="1" showErrorMessage="1" prompt="Insira o horário da aula e, abaixo, em uma nova linha, o nome da aula para cada dia da semana nas colunas de B a I. Repita esse padrão para todas as aulas nas linhas subsequentes" sqref="B10" xr:uid="{00000000-0002-0000-0500-00000C000000}"/>
    <dataValidation allowBlank="1" showInputMessage="1" showErrorMessage="1" prompt="O nome da aula vai nessa linha, começando na célula à direita" sqref="A13 A15 A17 A19 A21 A23 A25 A27 A29 A31" xr:uid="{188FC040-C6C6-4986-84F4-8D08FE285A17}"/>
    <dataValidation allowBlank="1" showInputMessage="1" showErrorMessage="1" prompt="O horário da aula vai nessa linha,começando na célula à direita_x000a_" sqref="A12 A14 A16 A18 A20 A22 A24 A26 A28 A30" xr:uid="{6B86CD8A-81CD-406F-AFBF-55BFEE011832}"/>
    <dataValidation allowBlank="1" showInputMessage="1" showErrorMessage="1" prompt="O dia da semana vai nessa linha, começando na célula B11" sqref="A11" xr:uid="{634ABA3B-AE96-427A-BD7A-3178682C330B}"/>
  </dataValidations>
  <printOptions horizontalCentered="1" verticalCentered="1"/>
  <pageMargins left="0.5" right="0.5" top="0.5" bottom="0.5" header="0.3" footer="0.3"/>
  <pageSetup paperSize="9" scale="58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L31"/>
  <sheetViews>
    <sheetView showGridLines="0" zoomScaleNormal="100" zoomScalePageLayoutView="84" workbookViewId="0">
      <selection activeCell="L1" sqref="L1"/>
    </sheetView>
  </sheetViews>
  <sheetFormatPr defaultColWidth="8.625" defaultRowHeight="30" customHeight="1"/>
  <cols>
    <col min="1" max="1" width="2.625" customWidth="1"/>
    <col min="2" max="2" width="20.625" customWidth="1"/>
    <col min="3" max="8" width="10.625" customWidth="1"/>
    <col min="9" max="9" width="20.625" customWidth="1"/>
    <col min="10" max="11" width="10.625" customWidth="1"/>
    <col min="12" max="12" width="70.625" customWidth="1"/>
    <col min="13" max="13" width="2.625" customWidth="1"/>
  </cols>
  <sheetData>
    <row r="1" spans="1:12" ht="30" customHeight="1">
      <c r="B1" s="11">
        <f>AnoCivil</f>
        <v>2025</v>
      </c>
      <c r="J1" s="20" t="s">
        <v>22</v>
      </c>
      <c r="K1" s="20" t="s">
        <v>23</v>
      </c>
      <c r="L1" s="10" t="s">
        <v>36</v>
      </c>
    </row>
    <row r="2" spans="1:12" ht="30" customHeight="1">
      <c r="A2" s="12"/>
      <c r="B2" s="38" t="s">
        <v>28</v>
      </c>
      <c r="C2" s="6" t="s">
        <v>10</v>
      </c>
      <c r="D2" s="6" t="s">
        <v>2</v>
      </c>
      <c r="E2" s="6" t="s">
        <v>16</v>
      </c>
      <c r="F2" s="6" t="s">
        <v>17</v>
      </c>
      <c r="G2" s="6" t="s">
        <v>18</v>
      </c>
      <c r="H2" s="6" t="s">
        <v>20</v>
      </c>
      <c r="I2" s="6" t="s">
        <v>21</v>
      </c>
      <c r="J2" s="9" t="s">
        <v>2</v>
      </c>
      <c r="K2" s="48"/>
    </row>
    <row r="3" spans="1:12" ht="30" customHeight="1">
      <c r="A3" s="12"/>
      <c r="C3" s="41">
        <f>IF(DAY(JulDom1)=1,JulDom1-6,JulDom1+1)</f>
        <v>45837</v>
      </c>
      <c r="D3" s="41">
        <f>IF(DAY(JulDom1)=1,JulDom1-5,JulDom1+2)</f>
        <v>45838</v>
      </c>
      <c r="E3" s="41">
        <f>IF(DAY(JulDom1)=1,JulDom1-4,JulDom1+3)</f>
        <v>45839</v>
      </c>
      <c r="F3" s="41">
        <f>IF(DAY(JulDom1)=1,JulDom1-3,JulDom1+4)</f>
        <v>45840</v>
      </c>
      <c r="G3" s="41">
        <f>IF(DAY(JulDom1)=1,JulDom1-2,JulDom1+5)</f>
        <v>45841</v>
      </c>
      <c r="H3" s="41">
        <f>IF(DAY(JulDom1)=1,JulDom1-1,JulDom1+6)</f>
        <v>45842</v>
      </c>
      <c r="I3" s="41">
        <f>IF(DAY(JulDom1)=1,JulDom1,JulDom1+7)</f>
        <v>45843</v>
      </c>
      <c r="J3" s="9"/>
      <c r="K3" s="48"/>
    </row>
    <row r="4" spans="1:12" ht="30" customHeight="1">
      <c r="A4" s="12"/>
      <c r="C4" s="41">
        <f>IF(DAY(JulDom1)=1,JulDom1+1,JulDom1+8)</f>
        <v>45844</v>
      </c>
      <c r="D4" s="41">
        <f>IF(DAY(JulDom1)=1,JulDom1+2,JulDom1+9)</f>
        <v>45845</v>
      </c>
      <c r="E4" s="41">
        <f>IF(DAY(JulDom1)=1,JulDom1+3,JulDom1+10)</f>
        <v>45846</v>
      </c>
      <c r="F4" s="41">
        <f>IF(DAY(JulDom1)=1,JulDom1+4,JulDom1+11)</f>
        <v>45847</v>
      </c>
      <c r="G4" s="41">
        <f>IF(DAY(JulDom1)=1,JulDom1+5,JulDom1+12)</f>
        <v>45848</v>
      </c>
      <c r="H4" s="41">
        <f>IF(DAY(JulDom1)=1,JulDom1+6,JulDom1+13)</f>
        <v>45849</v>
      </c>
      <c r="I4" s="41">
        <f>IF(DAY(JulDom1)=1,JulDom1+7,JulDom1+14)</f>
        <v>45850</v>
      </c>
      <c r="J4" s="9"/>
      <c r="K4" s="48"/>
    </row>
    <row r="5" spans="1:12" ht="30" customHeight="1">
      <c r="A5" s="12"/>
      <c r="C5" s="41">
        <f>IF(DAY(JulDom1)=1,JulDom1+8,JulDom1+15)</f>
        <v>45851</v>
      </c>
      <c r="D5" s="41">
        <f>IF(DAY(JulDom1)=1,JulDom1+9,JulDom1+16)</f>
        <v>45852</v>
      </c>
      <c r="E5" s="41">
        <f>IF(DAY(JulDom1)=1,JulDom1+10,JulDom1+17)</f>
        <v>45853</v>
      </c>
      <c r="F5" s="41">
        <f>IF(DAY(JulDom1)=1,JulDom1+11,JulDom1+18)</f>
        <v>45854</v>
      </c>
      <c r="G5" s="41">
        <f>IF(DAY(JulDom1)=1,JulDom1+12,JulDom1+19)</f>
        <v>45855</v>
      </c>
      <c r="H5" s="41">
        <f>IF(DAY(JulDom1)=1,JulDom1+13,JulDom1+20)</f>
        <v>45856</v>
      </c>
      <c r="I5" s="41">
        <f>IF(DAY(JulDom1)=1,JulDom1+14,JulDom1+21)</f>
        <v>45857</v>
      </c>
      <c r="J5" s="9"/>
      <c r="K5" s="48"/>
    </row>
    <row r="6" spans="1:12" ht="30" customHeight="1">
      <c r="A6" s="12"/>
      <c r="C6" s="41">
        <f>IF(DAY(JulDom1)=1,JulDom1+15,JulDom1+22)</f>
        <v>45858</v>
      </c>
      <c r="D6" s="41">
        <f>IF(DAY(JulDom1)=1,JulDom1+16,JulDom1+23)</f>
        <v>45859</v>
      </c>
      <c r="E6" s="41">
        <f>IF(DAY(JulDom1)=1,JulDom1+17,JulDom1+24)</f>
        <v>45860</v>
      </c>
      <c r="F6" s="41">
        <f>IF(DAY(JulDom1)=1,JulDom1+18,JulDom1+25)</f>
        <v>45861</v>
      </c>
      <c r="G6" s="41">
        <f>IF(DAY(JulDom1)=1,JulDom1+19,JulDom1+26)</f>
        <v>45862</v>
      </c>
      <c r="H6" s="41">
        <f>IF(DAY(JulDom1)=1,JulDom1+20,JulDom1+27)</f>
        <v>45863</v>
      </c>
      <c r="I6" s="41">
        <f>IF(DAY(JulDom1)=1,JulDom1+21,JulDom1+28)</f>
        <v>45864</v>
      </c>
      <c r="J6" s="9"/>
      <c r="K6" s="48"/>
    </row>
    <row r="7" spans="1:12" ht="30" customHeight="1">
      <c r="A7" s="12"/>
      <c r="C7" s="41">
        <f>IF(DAY(JulDom1)=1,JulDom1+22,JulDom1+29)</f>
        <v>45865</v>
      </c>
      <c r="D7" s="41">
        <f>IF(DAY(JulDom1)=1,JulDom1+23,JulDom1+30)</f>
        <v>45866</v>
      </c>
      <c r="E7" s="41">
        <f>IF(DAY(JulDom1)=1,JulDom1+24,JulDom1+31)</f>
        <v>45867</v>
      </c>
      <c r="F7" s="41">
        <f>IF(DAY(JulDom1)=1,JulDom1+25,JulDom1+32)</f>
        <v>45868</v>
      </c>
      <c r="G7" s="41">
        <f>IF(DAY(JulDom1)=1,JulDom1+26,JulDom1+33)</f>
        <v>45869</v>
      </c>
      <c r="H7" s="41">
        <f>IF(DAY(JulDom1)=1,JulDom1+27,JulDom1+34)</f>
        <v>45870</v>
      </c>
      <c r="I7" s="41">
        <f>IF(DAY(JulDom1)=1,JulDom1+28,JulDom1+35)</f>
        <v>45871</v>
      </c>
      <c r="J7" s="1"/>
      <c r="K7" s="49"/>
      <c r="L7" s="18"/>
    </row>
    <row r="8" spans="1:12" ht="30" customHeight="1">
      <c r="A8" s="12"/>
      <c r="B8" s="17"/>
      <c r="C8" s="41">
        <f>IF(DAY(JulDom1)=1,JulDom1+29,JulDom1+36)</f>
        <v>45872</v>
      </c>
      <c r="D8" s="41">
        <f>IF(DAY(JulDom1)=1,JulDom1+30,JulDom1+37)</f>
        <v>45873</v>
      </c>
      <c r="E8" s="41">
        <f>IF(DAY(JulDom1)=1,JulDom1+31,JulDom1+38)</f>
        <v>45874</v>
      </c>
      <c r="F8" s="41">
        <f>IF(DAY(JulDom1)=1,JulDom1+32,JulDom1+39)</f>
        <v>45875</v>
      </c>
      <c r="G8" s="41">
        <f>IF(DAY(JulDom1)=1,JulDom1+33,JulDom1+40)</f>
        <v>45876</v>
      </c>
      <c r="H8" s="41">
        <f>IF(DAY(JulDom1)=1,JulDom1+34,JulDom1+41)</f>
        <v>45877</v>
      </c>
      <c r="I8" s="41">
        <f>IF(DAY(JulDom1)=1,JulDom1+35,JulDom1+42)</f>
        <v>45878</v>
      </c>
      <c r="J8" s="9" t="s">
        <v>16</v>
      </c>
      <c r="K8" s="48"/>
    </row>
    <row r="9" spans="1:12" ht="30" customHeight="1">
      <c r="A9" s="12"/>
      <c r="C9" s="4"/>
      <c r="D9" s="4"/>
      <c r="E9" s="4"/>
      <c r="F9" s="4"/>
      <c r="G9" s="4"/>
      <c r="H9" s="4"/>
      <c r="I9" s="4"/>
      <c r="J9" s="9"/>
      <c r="K9" s="48"/>
    </row>
    <row r="10" spans="1:12" ht="30" customHeight="1">
      <c r="A10" s="12"/>
      <c r="B10" s="16" t="s">
        <v>1</v>
      </c>
      <c r="C10" s="8"/>
      <c r="D10" s="8"/>
      <c r="E10" s="8"/>
      <c r="F10" s="8"/>
      <c r="G10" s="8"/>
      <c r="H10" s="8"/>
      <c r="I10" s="8"/>
      <c r="J10" s="9"/>
      <c r="K10" s="48"/>
    </row>
    <row r="11" spans="1:12" ht="30" customHeight="1">
      <c r="A11" s="25"/>
      <c r="B11" s="13" t="s">
        <v>2</v>
      </c>
      <c r="C11" s="51" t="s">
        <v>11</v>
      </c>
      <c r="D11" s="52"/>
      <c r="E11" s="51" t="s">
        <v>17</v>
      </c>
      <c r="F11" s="52"/>
      <c r="G11" s="51" t="s">
        <v>19</v>
      </c>
      <c r="H11" s="52"/>
      <c r="I11" s="3" t="s">
        <v>20</v>
      </c>
      <c r="J11" s="9"/>
      <c r="K11" s="48"/>
    </row>
    <row r="12" spans="1:12" ht="30" customHeight="1">
      <c r="A12" s="25"/>
      <c r="B12" s="44"/>
      <c r="C12" s="53"/>
      <c r="D12" s="53"/>
      <c r="E12" s="53"/>
      <c r="F12" s="53"/>
      <c r="G12" s="53"/>
      <c r="H12" s="53"/>
      <c r="I12" s="46"/>
      <c r="J12" s="9"/>
      <c r="K12" s="48"/>
    </row>
    <row r="13" spans="1:12" ht="30" customHeight="1">
      <c r="A13" s="25"/>
      <c r="B13" s="26"/>
      <c r="C13" s="54"/>
      <c r="D13" s="54"/>
      <c r="E13" s="54"/>
      <c r="F13" s="54"/>
      <c r="G13" s="54"/>
      <c r="H13" s="54"/>
      <c r="I13" s="31"/>
      <c r="J13" s="1"/>
      <c r="K13" s="49"/>
      <c r="L13" s="18"/>
    </row>
    <row r="14" spans="1:12" ht="30" customHeight="1">
      <c r="A14" s="25"/>
      <c r="B14" s="44"/>
      <c r="C14" s="53"/>
      <c r="D14" s="53"/>
      <c r="E14" s="53"/>
      <c r="F14" s="53"/>
      <c r="G14" s="53"/>
      <c r="H14" s="53"/>
      <c r="I14" s="46"/>
      <c r="J14" s="9" t="s">
        <v>17</v>
      </c>
      <c r="K14" s="48"/>
    </row>
    <row r="15" spans="1:12" ht="30" customHeight="1">
      <c r="A15" s="25"/>
      <c r="B15" s="26"/>
      <c r="C15" s="54"/>
      <c r="D15" s="54"/>
      <c r="E15" s="54"/>
      <c r="F15" s="54"/>
      <c r="G15" s="54"/>
      <c r="H15" s="54"/>
      <c r="I15" s="31"/>
      <c r="J15" s="9"/>
      <c r="K15" s="48"/>
    </row>
    <row r="16" spans="1:12" ht="30" customHeight="1">
      <c r="A16" s="25"/>
      <c r="B16" s="44"/>
      <c r="C16" s="53"/>
      <c r="D16" s="53"/>
      <c r="E16" s="53"/>
      <c r="F16" s="53"/>
      <c r="G16" s="53"/>
      <c r="H16" s="53"/>
      <c r="I16" s="47"/>
      <c r="J16" s="9"/>
      <c r="K16" s="48"/>
    </row>
    <row r="17" spans="1:12" ht="30" customHeight="1">
      <c r="A17" s="25"/>
      <c r="B17" s="26"/>
      <c r="C17" s="54"/>
      <c r="D17" s="54"/>
      <c r="E17" s="54"/>
      <c r="F17" s="54"/>
      <c r="G17" s="54"/>
      <c r="H17" s="54"/>
      <c r="I17" s="31"/>
      <c r="J17" s="9"/>
      <c r="K17" s="48"/>
    </row>
    <row r="18" spans="1:12" ht="30" customHeight="1">
      <c r="A18" s="25"/>
      <c r="B18" s="44"/>
      <c r="C18" s="53"/>
      <c r="D18" s="53"/>
      <c r="E18" s="53"/>
      <c r="F18" s="53"/>
      <c r="G18" s="53"/>
      <c r="H18" s="53"/>
      <c r="I18" s="46"/>
      <c r="J18" s="9"/>
      <c r="K18" s="48"/>
    </row>
    <row r="19" spans="1:12" ht="30" customHeight="1">
      <c r="A19" s="25"/>
      <c r="B19" s="26"/>
      <c r="C19" s="54"/>
      <c r="D19" s="54"/>
      <c r="E19" s="54"/>
      <c r="F19" s="54"/>
      <c r="G19" s="54"/>
      <c r="H19" s="54"/>
      <c r="I19" s="32"/>
      <c r="J19" s="1"/>
      <c r="K19" s="49"/>
      <c r="L19" s="24"/>
    </row>
    <row r="20" spans="1:12" ht="30" customHeight="1">
      <c r="A20" s="25"/>
      <c r="B20" s="44"/>
      <c r="C20" s="53"/>
      <c r="D20" s="53"/>
      <c r="E20" s="53"/>
      <c r="F20" s="53"/>
      <c r="G20" s="53"/>
      <c r="H20" s="53"/>
      <c r="I20" s="46"/>
      <c r="J20" s="9" t="s">
        <v>18</v>
      </c>
      <c r="K20" s="48"/>
    </row>
    <row r="21" spans="1:12" ht="30" customHeight="1">
      <c r="A21" s="25"/>
      <c r="B21" s="26"/>
      <c r="C21" s="54"/>
      <c r="D21" s="54"/>
      <c r="E21" s="54"/>
      <c r="F21" s="54"/>
      <c r="G21" s="54"/>
      <c r="H21" s="54"/>
      <c r="I21" s="31"/>
      <c r="J21" s="9"/>
      <c r="K21" s="48"/>
    </row>
    <row r="22" spans="1:12" ht="30" customHeight="1">
      <c r="A22" s="25"/>
      <c r="B22" s="44"/>
      <c r="C22" s="53"/>
      <c r="D22" s="53"/>
      <c r="E22" s="53"/>
      <c r="F22" s="53"/>
      <c r="G22" s="53"/>
      <c r="H22" s="53"/>
      <c r="I22" s="46"/>
      <c r="J22" s="9"/>
      <c r="K22" s="48"/>
    </row>
    <row r="23" spans="1:12" ht="30" customHeight="1">
      <c r="A23" s="25"/>
      <c r="B23" s="26"/>
      <c r="C23" s="54"/>
      <c r="D23" s="54"/>
      <c r="E23" s="54"/>
      <c r="F23" s="54"/>
      <c r="G23" s="54"/>
      <c r="H23" s="54"/>
      <c r="I23" s="31"/>
      <c r="J23" s="9"/>
      <c r="K23" s="48"/>
    </row>
    <row r="24" spans="1:12" ht="30" customHeight="1">
      <c r="A24" s="25"/>
      <c r="B24" s="44"/>
      <c r="C24" s="53"/>
      <c r="D24" s="53"/>
      <c r="E24" s="53"/>
      <c r="F24" s="53"/>
      <c r="G24" s="53"/>
      <c r="H24" s="53"/>
      <c r="I24" s="46"/>
      <c r="J24" s="9"/>
      <c r="K24" s="48"/>
    </row>
    <row r="25" spans="1:12" ht="30" customHeight="1">
      <c r="A25" s="25"/>
      <c r="B25" s="26"/>
      <c r="C25" s="54"/>
      <c r="D25" s="54"/>
      <c r="E25" s="54"/>
      <c r="F25" s="54"/>
      <c r="G25" s="54"/>
      <c r="H25" s="54"/>
      <c r="I25" s="31"/>
      <c r="J25" s="1"/>
      <c r="K25" s="49"/>
      <c r="L25" s="24"/>
    </row>
    <row r="26" spans="1:12" ht="30" customHeight="1">
      <c r="A26" s="25"/>
      <c r="B26" s="44"/>
      <c r="C26" s="53"/>
      <c r="D26" s="53"/>
      <c r="E26" s="53"/>
      <c r="F26" s="53"/>
      <c r="G26" s="53"/>
      <c r="H26" s="53"/>
      <c r="I26" s="46"/>
      <c r="J26" s="9" t="s">
        <v>20</v>
      </c>
      <c r="K26" s="48"/>
    </row>
    <row r="27" spans="1:12" ht="30" customHeight="1">
      <c r="A27" s="25"/>
      <c r="B27" s="26"/>
      <c r="C27" s="54"/>
      <c r="D27" s="54"/>
      <c r="E27" s="54"/>
      <c r="F27" s="54"/>
      <c r="G27" s="54"/>
      <c r="H27" s="54"/>
      <c r="I27" s="31"/>
      <c r="J27" s="9"/>
      <c r="K27" s="48"/>
    </row>
    <row r="28" spans="1:12" ht="30" customHeight="1">
      <c r="A28" s="25"/>
      <c r="B28" s="44"/>
      <c r="C28" s="53"/>
      <c r="D28" s="53"/>
      <c r="E28" s="53"/>
      <c r="F28" s="53"/>
      <c r="G28" s="53"/>
      <c r="H28" s="53"/>
      <c r="I28" s="46"/>
      <c r="J28" s="9"/>
      <c r="K28" s="48"/>
    </row>
    <row r="29" spans="1:12" ht="30" customHeight="1">
      <c r="A29" s="25"/>
      <c r="B29" s="26"/>
      <c r="C29" s="54"/>
      <c r="D29" s="54"/>
      <c r="E29" s="54"/>
      <c r="F29" s="54"/>
      <c r="G29" s="54"/>
      <c r="H29" s="54"/>
      <c r="I29" s="31"/>
      <c r="J29" s="9"/>
      <c r="K29" s="48"/>
    </row>
    <row r="30" spans="1:12" ht="30" customHeight="1">
      <c r="A30" s="25"/>
      <c r="B30" s="44"/>
      <c r="C30" s="53"/>
      <c r="D30" s="53"/>
      <c r="E30" s="53"/>
      <c r="F30" s="53"/>
      <c r="G30" s="53"/>
      <c r="H30" s="53"/>
      <c r="I30" s="46"/>
      <c r="J30" s="9"/>
      <c r="K30" s="48"/>
    </row>
    <row r="31" spans="1:12" ht="30" customHeight="1">
      <c r="A31" s="25"/>
      <c r="B31" s="29"/>
      <c r="C31" s="55"/>
      <c r="D31" s="55"/>
      <c r="E31" s="55"/>
      <c r="F31" s="55"/>
      <c r="G31" s="55"/>
      <c r="H31" s="55"/>
      <c r="I31" s="30"/>
      <c r="J31" s="9"/>
      <c r="K31" s="48"/>
    </row>
  </sheetData>
  <mergeCells count="63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</mergeCells>
  <conditionalFormatting sqref="B12:I12 B14:I14 B16:I16 B18:I18 B20:I20 B22:I22 B24:I24 B26:I26 B28:I28 B30:I30">
    <cfRule type="expression" dxfId="49" priority="4">
      <formula>B12&lt;&gt;""</formula>
    </cfRule>
  </conditionalFormatting>
  <conditionalFormatting sqref="B12:I31">
    <cfRule type="expression" dxfId="48" priority="1">
      <formula>COLUMN(B12)&gt;2</formula>
    </cfRule>
  </conditionalFormatting>
  <conditionalFormatting sqref="B13:I13 B15:I15 B17:I17 B19:I19 B21:I21 B23:I23 B25:I25 B27:I27 B29:I29 B31:I31">
    <cfRule type="expression" dxfId="47" priority="3">
      <formula>B13&lt;&gt;""</formula>
    </cfRule>
  </conditionalFormatting>
  <conditionalFormatting sqref="B13:I13 B15:I15 B17:I17 B19:I19 B21:I21 B23:I23 B25:I25 B27:I27 B29:I29">
    <cfRule type="expression" dxfId="46" priority="2">
      <formula>COLUMN(B13)&gt;=2</formula>
    </cfRule>
  </conditionalFormatting>
  <conditionalFormatting sqref="C3:H3">
    <cfRule type="expression" dxfId="45" priority="6" stopIfTrue="1">
      <formula>DAY(C3)&gt;8</formula>
    </cfRule>
  </conditionalFormatting>
  <conditionalFormatting sqref="C3:I8">
    <cfRule type="expression" dxfId="44" priority="7">
      <formula>VLOOKUP(DAY(C3),DiasTarefa,1,FALSE)=DAY(C3)</formula>
    </cfRule>
  </conditionalFormatting>
  <conditionalFormatting sqref="C7:I8">
    <cfRule type="expression" dxfId="43" priority="5" stopIfTrue="1">
      <formula>AND(DAY(C7)&gt;=1,DAY(C7)&lt;=15)</formula>
    </cfRule>
  </conditionalFormatting>
  <dataValidations xWindow="239" yWindow="583" count="16">
    <dataValidation allowBlank="1" showInputMessage="1" showErrorMessage="1" prompt="Insira a aula nesta linha das colunas B a I" sqref="B13" xr:uid="{00000000-0002-0000-0600-000000000000}"/>
    <dataValidation allowBlank="1" showInputMessage="1" showErrorMessage="1" prompt="Insira o horário nesta linha das colunas B a I" sqref="B12" xr:uid="{00000000-0002-0000-0600-000001000000}"/>
    <dataValidation allowBlank="1" showInputMessage="1" showErrorMessage="1" prompt="Se esta linha contiver um número menor que o número ou a linha de números anterior, ela conterá datas para o próximo mês do calendário" sqref="C8" xr:uid="{00000000-0002-0000-0600-000002000000}"/>
    <dataValidation allowBlank="1" showInputMessage="1" showErrorMessage="1" prompt="Se esta célula não contiver o número 1, será um dia de um mês anterior. Células C3:I8 contêm datas para o mês atual" sqref="C3" xr:uid="{00000000-0002-0000-0600-000003000000}"/>
    <dataValidation allowBlank="1" showInputMessage="1" showErrorMessage="1" prompt="Células C2:I2 contêm dias da semana" sqref="C2:D2" xr:uid="{DC4F59FA-0AF4-4BDA-8F72-2DEB141ABBF5}"/>
    <dataValidation allowBlank="1" showInputMessage="1" showErrorMessage="1" prompt="Prepare um cronograma semanal e crie uma lista de tarefas nesta planilha. As tarefas são destacadas automaticamente no calendário mensal para o ano inserido em B1 na planilha de janeiro" sqref="A1" xr:uid="{00000000-0002-0000-0600-000005000000}"/>
    <dataValidation allowBlank="1" showInputMessage="1" showErrorMessage="1" prompt="Ano civil atualizado automaticamente. Para alterar o ano, atualize a célula B1 na planilha de janeiro" sqref="B1" xr:uid="{00000000-0002-0000-0600-000006000000}"/>
    <dataValidation allowBlank="1" showInputMessage="1" showErrorMessage="1" prompt="O calendário de julho destaca automaticamente as entradas da lista de tarefas para o mês. As fontes mais escuras são tarefas. As fontes mais claras são os dias que pertencem ao mês anterior ou seguinte" sqref="B2" xr:uid="{00000000-0002-0000-0600-000007000000}"/>
    <dataValidation allowBlank="1" showInputMessage="1" showErrorMessage="1" prompt="Os dias da semana são agrupados nesta coluna, com 6 linhas para as tarefas de cada dia da semana do mês agrupado. Insira novas linhas para adicionar mais tarefas. O calendário à esquerda destacará os itens" sqref="J1" xr:uid="{00000000-0002-0000-0600-000008000000}"/>
    <dataValidation allowBlank="1" showInputMessage="1" showErrorMessage="1" prompt="Insira os detalhes da tarefa nesta coluna, que corresponde ao dia da semana na coluna J e ao dia na coluna K para o mês do calendário à esquerda" sqref="L1" xr:uid="{FA0A2D6F-1D03-4880-8130-2E12C05F5FDB}"/>
    <dataValidation allowBlank="1" showInputMessage="1" showErrorMessage="1" prompt="Insira o dia do mês da tarefa nesta coluna, que corresponde ao dia da semana na coluna J. Essa data destacará a tarefa no calendário à esquerda" sqref="K1" xr:uid="{00000000-0002-0000-0600-00000A000000}"/>
    <dataValidation allowBlank="1" showInputMessage="1" showErrorMessage="1" prompt="Os dias da semana estão nesta linha, de segunda a sexta" sqref="B11" xr:uid="{00000000-0002-0000-0600-00000B000000}"/>
    <dataValidation allowBlank="1" showInputMessage="1" showErrorMessage="1" prompt="Insira o horário da aula e, abaixo, em uma nova linha, o nome da aula para cada dia da semana nas colunas de B a I. Repita esse padrão para todas as aulas nas linhas subsequentes" sqref="B10" xr:uid="{00000000-0002-0000-0600-00000C000000}"/>
    <dataValidation allowBlank="1" showInputMessage="1" showErrorMessage="1" prompt="O nome da aula vai nessa linha, começando na célula à direita" sqref="A13 A15 A17 A19 A21 A23 A25 A27 A29 A31" xr:uid="{189F8C19-08F5-4583-9FF3-CD200BE06F89}"/>
    <dataValidation allowBlank="1" showInputMessage="1" showErrorMessage="1" prompt="O horário da aula vai nessa linha,começando na célula à direita_x000a_" sqref="A12 A14 A16 A18 A20 A22 A24 A26 A28 A30" xr:uid="{56E51AE5-F638-4235-8B70-96DDC96962C1}"/>
    <dataValidation allowBlank="1" showInputMessage="1" showErrorMessage="1" prompt="O dia da semana vai nessa linha, começando na célula B11" sqref="A11" xr:uid="{EA8CD20E-030F-477F-9247-BACAAD291DDE}"/>
  </dataValidations>
  <printOptions horizontalCentered="1" verticalCentered="1"/>
  <pageMargins left="0.5" right="0.5" top="0.5" bottom="0.5" header="0.3" footer="0.3"/>
  <pageSetup paperSize="9" scale="58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A1:L31"/>
  <sheetViews>
    <sheetView showGridLines="0" zoomScaleNormal="100" zoomScalePageLayoutView="84" workbookViewId="0">
      <selection activeCell="L1" sqref="L1"/>
    </sheetView>
  </sheetViews>
  <sheetFormatPr defaultColWidth="8.625" defaultRowHeight="30" customHeight="1"/>
  <cols>
    <col min="1" max="1" width="2.625" customWidth="1"/>
    <col min="2" max="2" width="20.625" customWidth="1"/>
    <col min="3" max="8" width="10.625" customWidth="1"/>
    <col min="9" max="9" width="20.625" customWidth="1"/>
    <col min="10" max="11" width="10.625" customWidth="1"/>
    <col min="12" max="12" width="70.625" customWidth="1"/>
    <col min="13" max="13" width="2.625" customWidth="1"/>
  </cols>
  <sheetData>
    <row r="1" spans="1:12" ht="30" customHeight="1">
      <c r="B1" s="11">
        <f>AnoCivil</f>
        <v>2025</v>
      </c>
      <c r="J1" s="20" t="s">
        <v>22</v>
      </c>
      <c r="K1" s="20" t="s">
        <v>23</v>
      </c>
      <c r="L1" s="10" t="s">
        <v>36</v>
      </c>
    </row>
    <row r="2" spans="1:12" ht="30" customHeight="1">
      <c r="A2" s="12"/>
      <c r="B2" s="38" t="s">
        <v>29</v>
      </c>
      <c r="C2" s="6" t="s">
        <v>10</v>
      </c>
      <c r="D2" s="6" t="s">
        <v>2</v>
      </c>
      <c r="E2" s="6" t="s">
        <v>16</v>
      </c>
      <c r="F2" s="6" t="s">
        <v>17</v>
      </c>
      <c r="G2" s="6" t="s">
        <v>18</v>
      </c>
      <c r="H2" s="6" t="s">
        <v>20</v>
      </c>
      <c r="I2" s="6" t="s">
        <v>21</v>
      </c>
      <c r="J2" s="9" t="s">
        <v>2</v>
      </c>
      <c r="K2" s="62"/>
    </row>
    <row r="3" spans="1:12" ht="30" customHeight="1">
      <c r="A3" s="12"/>
      <c r="C3" s="41">
        <f>IF(DAY(AgoDom1)=1,AgoDom1-6,AgoDom1+1)</f>
        <v>45865</v>
      </c>
      <c r="D3" s="41">
        <f>IF(DAY(AgoDom1)=1,AgoDom1-5,AgoDom1+2)</f>
        <v>45866</v>
      </c>
      <c r="E3" s="41">
        <f>IF(DAY(AgoDom1)=1,AgoDom1-4,AgoDom1+3)</f>
        <v>45867</v>
      </c>
      <c r="F3" s="41">
        <f>IF(DAY(AgoDom1)=1,AgoDom1-3,AgoDom1+4)</f>
        <v>45868</v>
      </c>
      <c r="G3" s="41">
        <f>IF(DAY(AgoDom1)=1,AgoDom1-2,AgoDom1+5)</f>
        <v>45869</v>
      </c>
      <c r="H3" s="41">
        <f>IF(DAY(AgoDom1)=1,AgoDom1-1,AgoDom1+6)</f>
        <v>45870</v>
      </c>
      <c r="I3" s="41">
        <f>IF(DAY(AgoDom1)=1,AgoDom1,AgoDom1+7)</f>
        <v>45871</v>
      </c>
      <c r="J3" s="9"/>
      <c r="K3" s="63"/>
    </row>
    <row r="4" spans="1:12" ht="30" customHeight="1">
      <c r="A4" s="12"/>
      <c r="C4" s="41">
        <f>IF(DAY(AgoDom1)=1,AgoDom1+1,AgoDom1+8)</f>
        <v>45872</v>
      </c>
      <c r="D4" s="41">
        <f>IF(DAY(AgoDom1)=1,AgoDom1+2,AgoDom1+9)</f>
        <v>45873</v>
      </c>
      <c r="E4" s="41">
        <f>IF(DAY(AgoDom1)=1,AgoDom1+3,AgoDom1+10)</f>
        <v>45874</v>
      </c>
      <c r="F4" s="41">
        <f>IF(DAY(AgoDom1)=1,AgoDom1+4,AgoDom1+11)</f>
        <v>45875</v>
      </c>
      <c r="G4" s="41">
        <f>IF(DAY(AgoDom1)=1,AgoDom1+5,AgoDom1+12)</f>
        <v>45876</v>
      </c>
      <c r="H4" s="41">
        <f>IF(DAY(AgoDom1)=1,AgoDom1+6,AgoDom1+13)</f>
        <v>45877</v>
      </c>
      <c r="I4" s="41">
        <f>IF(DAY(AgoDom1)=1,AgoDom1+7,AgoDom1+14)</f>
        <v>45878</v>
      </c>
      <c r="J4" s="9"/>
      <c r="K4" s="63"/>
    </row>
    <row r="5" spans="1:12" ht="30" customHeight="1">
      <c r="A5" s="12"/>
      <c r="C5" s="41">
        <f>IF(DAY(AgoDom1)=1,AgoDom1+8,AgoDom1+15)</f>
        <v>45879</v>
      </c>
      <c r="D5" s="41">
        <f>IF(DAY(AgoDom1)=1,AgoDom1+9,AgoDom1+16)</f>
        <v>45880</v>
      </c>
      <c r="E5" s="41">
        <f>IF(DAY(AgoDom1)=1,AgoDom1+10,AgoDom1+17)</f>
        <v>45881</v>
      </c>
      <c r="F5" s="41">
        <f>IF(DAY(AgoDom1)=1,AgoDom1+11,AgoDom1+18)</f>
        <v>45882</v>
      </c>
      <c r="G5" s="41">
        <f>IF(DAY(AgoDom1)=1,AgoDom1+12,AgoDom1+19)</f>
        <v>45883</v>
      </c>
      <c r="H5" s="41">
        <f>IF(DAY(AgoDom1)=1,AgoDom1+13,AgoDom1+20)</f>
        <v>45884</v>
      </c>
      <c r="I5" s="41">
        <f>IF(DAY(AgoDom1)=1,AgoDom1+14,AgoDom1+21)</f>
        <v>45885</v>
      </c>
      <c r="J5" s="9"/>
      <c r="K5" s="63"/>
    </row>
    <row r="6" spans="1:12" ht="30" customHeight="1">
      <c r="A6" s="12"/>
      <c r="C6" s="41">
        <f>IF(DAY(AgoDom1)=1,AgoDom1+15,AgoDom1+22)</f>
        <v>45886</v>
      </c>
      <c r="D6" s="41">
        <f>IF(DAY(AgoDom1)=1,AgoDom1+16,AgoDom1+23)</f>
        <v>45887</v>
      </c>
      <c r="E6" s="41">
        <f>IF(DAY(AgoDom1)=1,AgoDom1+17,AgoDom1+24)</f>
        <v>45888</v>
      </c>
      <c r="F6" s="41">
        <f>IF(DAY(AgoDom1)=1,AgoDom1+18,AgoDom1+25)</f>
        <v>45889</v>
      </c>
      <c r="G6" s="41">
        <f>IF(DAY(AgoDom1)=1,AgoDom1+19,AgoDom1+26)</f>
        <v>45890</v>
      </c>
      <c r="H6" s="41">
        <f>IF(DAY(AgoDom1)=1,AgoDom1+20,AgoDom1+27)</f>
        <v>45891</v>
      </c>
      <c r="I6" s="41">
        <f>IF(DAY(AgoDom1)=1,AgoDom1+21,AgoDom1+28)</f>
        <v>45892</v>
      </c>
      <c r="J6" s="9"/>
      <c r="K6" s="63"/>
    </row>
    <row r="7" spans="1:12" ht="30" customHeight="1">
      <c r="A7" s="12"/>
      <c r="C7" s="41">
        <f>IF(DAY(AgoDom1)=1,AgoDom1+22,AgoDom1+29)</f>
        <v>45893</v>
      </c>
      <c r="D7" s="41">
        <f>IF(DAY(AgoDom1)=1,AgoDom1+23,AgoDom1+30)</f>
        <v>45894</v>
      </c>
      <c r="E7" s="41">
        <f>IF(DAY(AgoDom1)=1,AgoDom1+24,AgoDom1+31)</f>
        <v>45895</v>
      </c>
      <c r="F7" s="41">
        <f>IF(DAY(AgoDom1)=1,AgoDom1+25,AgoDom1+32)</f>
        <v>45896</v>
      </c>
      <c r="G7" s="41">
        <f>IF(DAY(AgoDom1)=1,AgoDom1+26,AgoDom1+33)</f>
        <v>45897</v>
      </c>
      <c r="H7" s="41">
        <f>IF(DAY(AgoDom1)=1,AgoDom1+27,AgoDom1+34)</f>
        <v>45898</v>
      </c>
      <c r="I7" s="41">
        <f>IF(DAY(AgoDom1)=1,AgoDom1+28,AgoDom1+35)</f>
        <v>45899</v>
      </c>
      <c r="J7" s="21"/>
      <c r="K7" s="49"/>
      <c r="L7" s="18"/>
    </row>
    <row r="8" spans="1:12" ht="30" customHeight="1">
      <c r="A8" s="12"/>
      <c r="B8" s="17"/>
      <c r="C8" s="41">
        <f>IF(DAY(AgoDom1)=1,AgoDom1+29,AgoDom1+36)</f>
        <v>45900</v>
      </c>
      <c r="D8" s="41">
        <f>IF(DAY(AgoDom1)=1,AgoDom1+30,AgoDom1+37)</f>
        <v>45901</v>
      </c>
      <c r="E8" s="41">
        <f>IF(DAY(AgoDom1)=1,AgoDom1+31,AgoDom1+38)</f>
        <v>45902</v>
      </c>
      <c r="F8" s="41">
        <f>IF(DAY(AgoDom1)=1,AgoDom1+32,AgoDom1+39)</f>
        <v>45903</v>
      </c>
      <c r="G8" s="41">
        <f>IF(DAY(AgoDom1)=1,AgoDom1+33,AgoDom1+40)</f>
        <v>45904</v>
      </c>
      <c r="H8" s="41">
        <f>IF(DAY(AgoDom1)=1,AgoDom1+34,AgoDom1+41)</f>
        <v>45905</v>
      </c>
      <c r="I8" s="41">
        <f>IF(DAY(AgoDom1)=1,AgoDom1+35,AgoDom1+42)</f>
        <v>45906</v>
      </c>
      <c r="J8" s="9" t="s">
        <v>16</v>
      </c>
      <c r="K8" s="62"/>
    </row>
    <row r="9" spans="1:12" ht="30" customHeight="1">
      <c r="A9" s="12"/>
      <c r="C9" s="4"/>
      <c r="D9" s="4"/>
      <c r="E9" s="4"/>
      <c r="F9" s="4"/>
      <c r="G9" s="4"/>
      <c r="H9" s="4"/>
      <c r="I9" s="4"/>
      <c r="J9" s="9"/>
      <c r="K9" s="63"/>
    </row>
    <row r="10" spans="1:12" ht="30" customHeight="1">
      <c r="A10" s="12"/>
      <c r="B10" s="16" t="s">
        <v>1</v>
      </c>
      <c r="C10" s="8"/>
      <c r="D10" s="8"/>
      <c r="E10" s="8"/>
      <c r="F10" s="8"/>
      <c r="G10" s="8"/>
      <c r="H10" s="8"/>
      <c r="I10" s="8"/>
      <c r="J10" s="9"/>
      <c r="K10" s="63"/>
    </row>
    <row r="11" spans="1:12" ht="30" customHeight="1">
      <c r="A11" s="25"/>
      <c r="B11" s="13" t="s">
        <v>2</v>
      </c>
      <c r="C11" s="51" t="s">
        <v>11</v>
      </c>
      <c r="D11" s="52"/>
      <c r="E11" s="51" t="s">
        <v>17</v>
      </c>
      <c r="F11" s="52"/>
      <c r="G11" s="51" t="s">
        <v>19</v>
      </c>
      <c r="H11" s="52"/>
      <c r="I11" s="3" t="s">
        <v>20</v>
      </c>
      <c r="J11" s="9"/>
      <c r="K11" s="63"/>
    </row>
    <row r="12" spans="1:12" ht="30" customHeight="1">
      <c r="A12" s="25"/>
      <c r="B12" s="44"/>
      <c r="C12" s="53"/>
      <c r="D12" s="53"/>
      <c r="E12" s="53"/>
      <c r="F12" s="53"/>
      <c r="G12" s="53"/>
      <c r="H12" s="53"/>
      <c r="I12" s="46"/>
      <c r="J12" s="9"/>
      <c r="K12" s="63"/>
    </row>
    <row r="13" spans="1:12" ht="30" customHeight="1">
      <c r="A13" s="25"/>
      <c r="B13" s="26"/>
      <c r="C13" s="54"/>
      <c r="D13" s="54"/>
      <c r="E13" s="54"/>
      <c r="F13" s="54"/>
      <c r="G13" s="54"/>
      <c r="H13" s="54"/>
      <c r="I13" s="31"/>
      <c r="J13" s="21"/>
      <c r="K13" s="49"/>
      <c r="L13" s="18"/>
    </row>
    <row r="14" spans="1:12" ht="30" customHeight="1">
      <c r="A14" s="25"/>
      <c r="B14" s="44"/>
      <c r="C14" s="53"/>
      <c r="D14" s="53"/>
      <c r="E14" s="53"/>
      <c r="F14" s="53"/>
      <c r="G14" s="53"/>
      <c r="H14" s="53"/>
      <c r="I14" s="46"/>
      <c r="J14" s="9" t="s">
        <v>17</v>
      </c>
      <c r="K14" s="62"/>
    </row>
    <row r="15" spans="1:12" ht="30" customHeight="1">
      <c r="A15" s="25"/>
      <c r="B15" s="26"/>
      <c r="C15" s="54"/>
      <c r="D15" s="54"/>
      <c r="E15" s="54"/>
      <c r="F15" s="54"/>
      <c r="G15" s="54"/>
      <c r="H15" s="54"/>
      <c r="I15" s="31"/>
      <c r="J15" s="9"/>
      <c r="K15" s="63"/>
    </row>
    <row r="16" spans="1:12" ht="30" customHeight="1">
      <c r="A16" s="25"/>
      <c r="B16" s="44"/>
      <c r="C16" s="53"/>
      <c r="D16" s="53"/>
      <c r="E16" s="53"/>
      <c r="F16" s="53"/>
      <c r="G16" s="53"/>
      <c r="H16" s="53"/>
      <c r="I16" s="47"/>
      <c r="J16" s="9"/>
      <c r="K16" s="63"/>
    </row>
    <row r="17" spans="1:12" ht="30" customHeight="1">
      <c r="A17" s="25"/>
      <c r="B17" s="26"/>
      <c r="C17" s="54"/>
      <c r="D17" s="54"/>
      <c r="E17" s="54"/>
      <c r="F17" s="54"/>
      <c r="G17" s="54"/>
      <c r="H17" s="54"/>
      <c r="I17" s="31"/>
      <c r="J17" s="9"/>
      <c r="K17" s="63"/>
    </row>
    <row r="18" spans="1:12" ht="30" customHeight="1">
      <c r="A18" s="25"/>
      <c r="B18" s="44"/>
      <c r="C18" s="53"/>
      <c r="D18" s="53"/>
      <c r="E18" s="53"/>
      <c r="F18" s="53"/>
      <c r="G18" s="53"/>
      <c r="H18" s="53"/>
      <c r="I18" s="46"/>
      <c r="J18" s="9"/>
      <c r="K18" s="63"/>
    </row>
    <row r="19" spans="1:12" ht="30" customHeight="1">
      <c r="A19" s="25"/>
      <c r="B19" s="26"/>
      <c r="C19" s="54"/>
      <c r="D19" s="54"/>
      <c r="E19" s="54"/>
      <c r="F19" s="54"/>
      <c r="G19" s="54"/>
      <c r="H19" s="54"/>
      <c r="I19" s="32"/>
      <c r="J19" s="21"/>
      <c r="K19" s="49"/>
      <c r="L19" s="24"/>
    </row>
    <row r="20" spans="1:12" ht="30" customHeight="1">
      <c r="A20" s="25"/>
      <c r="B20" s="44"/>
      <c r="C20" s="53"/>
      <c r="D20" s="53"/>
      <c r="E20" s="53"/>
      <c r="F20" s="53"/>
      <c r="G20" s="53"/>
      <c r="H20" s="53"/>
      <c r="I20" s="46"/>
      <c r="J20" s="9" t="s">
        <v>18</v>
      </c>
      <c r="K20" s="62"/>
    </row>
    <row r="21" spans="1:12" ht="30" customHeight="1">
      <c r="A21" s="25"/>
      <c r="B21" s="26"/>
      <c r="C21" s="54"/>
      <c r="D21" s="54"/>
      <c r="E21" s="54"/>
      <c r="F21" s="54"/>
      <c r="G21" s="54"/>
      <c r="H21" s="54"/>
      <c r="I21" s="31"/>
      <c r="J21" s="9"/>
      <c r="K21" s="63"/>
    </row>
    <row r="22" spans="1:12" ht="30" customHeight="1">
      <c r="A22" s="25"/>
      <c r="B22" s="44"/>
      <c r="C22" s="53"/>
      <c r="D22" s="53"/>
      <c r="E22" s="53"/>
      <c r="F22" s="53"/>
      <c r="G22" s="53"/>
      <c r="H22" s="53"/>
      <c r="I22" s="46"/>
      <c r="J22" s="9"/>
      <c r="K22" s="63"/>
    </row>
    <row r="23" spans="1:12" ht="30" customHeight="1">
      <c r="A23" s="25"/>
      <c r="B23" s="26"/>
      <c r="C23" s="54"/>
      <c r="D23" s="54"/>
      <c r="E23" s="54"/>
      <c r="F23" s="54"/>
      <c r="G23" s="54"/>
      <c r="H23" s="54"/>
      <c r="I23" s="31"/>
      <c r="J23" s="9"/>
      <c r="K23" s="63"/>
    </row>
    <row r="24" spans="1:12" ht="30" customHeight="1">
      <c r="A24" s="25"/>
      <c r="B24" s="44"/>
      <c r="C24" s="53"/>
      <c r="D24" s="53"/>
      <c r="E24" s="53"/>
      <c r="F24" s="53"/>
      <c r="G24" s="53"/>
      <c r="H24" s="53"/>
      <c r="I24" s="46"/>
      <c r="J24" s="9"/>
      <c r="K24" s="63"/>
    </row>
    <row r="25" spans="1:12" ht="30" customHeight="1">
      <c r="A25" s="25"/>
      <c r="B25" s="26"/>
      <c r="C25" s="54"/>
      <c r="D25" s="54"/>
      <c r="E25" s="54"/>
      <c r="F25" s="54"/>
      <c r="G25" s="54"/>
      <c r="H25" s="54"/>
      <c r="I25" s="31"/>
      <c r="J25" s="21"/>
      <c r="K25" s="49"/>
      <c r="L25" s="24"/>
    </row>
    <row r="26" spans="1:12" ht="30" customHeight="1">
      <c r="A26" s="25"/>
      <c r="B26" s="44"/>
      <c r="C26" s="53"/>
      <c r="D26" s="53"/>
      <c r="E26" s="53"/>
      <c r="F26" s="53"/>
      <c r="G26" s="53"/>
      <c r="H26" s="53"/>
      <c r="I26" s="46"/>
      <c r="J26" s="9" t="s">
        <v>20</v>
      </c>
      <c r="K26" s="62"/>
    </row>
    <row r="27" spans="1:12" ht="30" customHeight="1">
      <c r="A27" s="25"/>
      <c r="B27" s="26"/>
      <c r="C27" s="54"/>
      <c r="D27" s="54"/>
      <c r="E27" s="54"/>
      <c r="F27" s="54"/>
      <c r="G27" s="54"/>
      <c r="H27" s="54"/>
      <c r="I27" s="31"/>
      <c r="J27" s="9"/>
      <c r="K27" s="63"/>
    </row>
    <row r="28" spans="1:12" ht="30" customHeight="1">
      <c r="A28" s="25"/>
      <c r="B28" s="44"/>
      <c r="C28" s="53"/>
      <c r="D28" s="53"/>
      <c r="E28" s="53"/>
      <c r="F28" s="53"/>
      <c r="G28" s="53"/>
      <c r="H28" s="53"/>
      <c r="I28" s="46"/>
      <c r="J28" s="9"/>
      <c r="K28" s="63"/>
    </row>
    <row r="29" spans="1:12" ht="30" customHeight="1">
      <c r="A29" s="25"/>
      <c r="B29" s="26"/>
      <c r="C29" s="54"/>
      <c r="D29" s="54"/>
      <c r="E29" s="54"/>
      <c r="F29" s="54"/>
      <c r="G29" s="54"/>
      <c r="H29" s="54"/>
      <c r="I29" s="31"/>
      <c r="J29" s="9"/>
      <c r="K29" s="63"/>
    </row>
    <row r="30" spans="1:12" ht="30" customHeight="1">
      <c r="A30" s="25"/>
      <c r="B30" s="44"/>
      <c r="C30" s="53"/>
      <c r="D30" s="53"/>
      <c r="E30" s="53"/>
      <c r="F30" s="53"/>
      <c r="G30" s="53"/>
      <c r="H30" s="53"/>
      <c r="I30" s="46"/>
      <c r="J30" s="9"/>
      <c r="K30" s="63"/>
    </row>
    <row r="31" spans="1:12" ht="30" customHeight="1">
      <c r="A31" s="25"/>
      <c r="B31" s="34"/>
      <c r="C31" s="59"/>
      <c r="D31" s="59"/>
      <c r="E31" s="59"/>
      <c r="F31" s="59"/>
      <c r="G31" s="59"/>
      <c r="H31" s="59"/>
      <c r="I31" s="35"/>
      <c r="J31" s="9"/>
      <c r="K31" s="64"/>
    </row>
  </sheetData>
  <mergeCells count="63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</mergeCells>
  <conditionalFormatting sqref="B12:I12 B14:I14 B16:I16 B18:I18 B20:I20 B22:I22 B24:I24 B26:I26 B28:I28 B30:I30">
    <cfRule type="expression" dxfId="42" priority="4">
      <formula>B12&lt;&gt;""</formula>
    </cfRule>
  </conditionalFormatting>
  <conditionalFormatting sqref="B12:I31">
    <cfRule type="expression" dxfId="41" priority="1">
      <formula>COLUMN(B12)&gt;2</formula>
    </cfRule>
  </conditionalFormatting>
  <conditionalFormatting sqref="B13:I13 B15:I15 B17:I17 B19:I19 B21:I21 B23:I23 B25:I25 B27:I27 B29:I29 B31:I31">
    <cfRule type="expression" dxfId="40" priority="3">
      <formula>B12&lt;&gt;""</formula>
    </cfRule>
  </conditionalFormatting>
  <conditionalFormatting sqref="B13:I13 B15:I15 B17:I17 B19:I19 B21:I21 B23:I23 B25:I25 B27:I27 B29:I29">
    <cfRule type="expression" dxfId="39" priority="2">
      <formula>COLUMN(B13)&gt;=2</formula>
    </cfRule>
  </conditionalFormatting>
  <conditionalFormatting sqref="C3:H3">
    <cfRule type="expression" dxfId="38" priority="6" stopIfTrue="1">
      <formula>DAY(C3)&gt;8</formula>
    </cfRule>
  </conditionalFormatting>
  <conditionalFormatting sqref="C3:I8">
    <cfRule type="expression" dxfId="37" priority="7">
      <formula>VLOOKUP(DAY(C3),DiasTarefa,1,FALSE)=DAY(C3)</formula>
    </cfRule>
  </conditionalFormatting>
  <conditionalFormatting sqref="C7:I8">
    <cfRule type="expression" dxfId="36" priority="5" stopIfTrue="1">
      <formula>AND(DAY(C7)&gt;=1,DAY(C7)&lt;=15)</formula>
    </cfRule>
  </conditionalFormatting>
  <dataValidations xWindow="132" yWindow="585" count="16">
    <dataValidation allowBlank="1" showInputMessage="1" showErrorMessage="1" prompt="O calendário de agosto destaca automaticamente as entradas da lista de tarefas para o mês. As fontes mais escuras são tarefas. As fontes mais claras são os dias que pertencem ao mês anterior ou seguinte" sqref="B2" xr:uid="{00000000-0002-0000-0700-000000000000}"/>
    <dataValidation allowBlank="1" showInputMessage="1" showErrorMessage="1" prompt="Ano civil atualizado automaticamente. Para alterar o ano, atualize a célula B1 na planilha de janeiro" sqref="B1" xr:uid="{00000000-0002-0000-0700-000001000000}"/>
    <dataValidation allowBlank="1" showInputMessage="1" showErrorMessage="1" prompt="Prepare um cronograma semanal e crie uma lista de tarefas nesta planilha. As tarefas são destacadas automaticamente no calendário mensal para o ano inserido em B1 na planilha de janeiro" sqref="A1" xr:uid="{00000000-0002-0000-0700-000002000000}"/>
    <dataValidation allowBlank="1" showInputMessage="1" showErrorMessage="1" prompt="Células C2:I2 contêm dias da semana" sqref="C2:D2" xr:uid="{D5ADD5B5-62FA-4E64-A2E5-729C2B2BE6ED}"/>
    <dataValidation allowBlank="1" showInputMessage="1" showErrorMessage="1" prompt="Se esta célula não contiver o número 1, será um dia de um mês anterior. Células C3:I8 contêm datas para o mês atual" sqref="C3" xr:uid="{00000000-0002-0000-0700-000004000000}"/>
    <dataValidation allowBlank="1" showInputMessage="1" showErrorMessage="1" prompt="Se esta linha contiver um número menor que o número ou a linha de números anterior, ela conterá datas para o próximo mês do calendário" sqref="C8" xr:uid="{00000000-0002-0000-0700-000005000000}"/>
    <dataValidation allowBlank="1" showInputMessage="1" showErrorMessage="1" prompt="Insira o horário nesta linha das colunas B a I" sqref="B12" xr:uid="{00000000-0002-0000-0700-000006000000}"/>
    <dataValidation allowBlank="1" showInputMessage="1" showErrorMessage="1" prompt="Insira a aula nesta linha das colunas B a I" sqref="B13" xr:uid="{00000000-0002-0000-0700-000007000000}"/>
    <dataValidation allowBlank="1" showInputMessage="1" showErrorMessage="1" prompt="Os dias da semana são agrupados nesta coluna, com 6 linhas para as tarefas de cada dia da semana do mês agrupado. Insira novas linhas para adicionar mais tarefas. O calendário à esquerda destacará os itens" sqref="J1" xr:uid="{00000000-0002-0000-0700-000008000000}"/>
    <dataValidation allowBlank="1" showInputMessage="1" showErrorMessage="1" prompt="Insira os detalhes da tarefa nesta coluna, que corresponde ao dia da semana na coluna J e ao dia na coluna K para o mês do calendário à esquerda" sqref="L1" xr:uid="{5103AB50-DFB5-4707-9F0B-244BDB608D9E}"/>
    <dataValidation allowBlank="1" showInputMessage="1" showErrorMessage="1" prompt="Insira o dia do mês da tarefa nesta coluna, que corresponde ao dia da semana na coluna J. Essa data destacará a tarefa no calendário à esquerda" sqref="K1" xr:uid="{00000000-0002-0000-0700-00000A000000}"/>
    <dataValidation allowBlank="1" showInputMessage="1" showErrorMessage="1" prompt="Os dias da semana estão nesta linha, de segunda a sexta" sqref="B11" xr:uid="{00000000-0002-0000-0700-00000B000000}"/>
    <dataValidation allowBlank="1" showInputMessage="1" showErrorMessage="1" prompt="Insira o horário da aula e, abaixo, em uma nova linha, o nome da aula para cada dia da semana nas colunas de B a I. Repita esse padrão para todas as aulas nas linhas subsequentes" sqref="B10" xr:uid="{00000000-0002-0000-0700-00000C000000}"/>
    <dataValidation allowBlank="1" showInputMessage="1" showErrorMessage="1" prompt="O nome da aula vai nessa linha, começando na célula à direita" sqref="A13 A15 A17 A19 A21 A23 A25 A27 A29 A31" xr:uid="{651DF7E9-087F-4EA0-BD6D-07883D17269A}"/>
    <dataValidation allowBlank="1" showInputMessage="1" showErrorMessage="1" prompt="O horário da aula vai nessa linha,começando na célula à direita_x000a_" sqref="A12 A14 A16 A18 A20 A22 A24 A26 A28 A30" xr:uid="{40B2CD08-6B19-4BC4-9B54-A90DFCD754C6}"/>
    <dataValidation allowBlank="1" showInputMessage="1" showErrorMessage="1" prompt="O dia da semana vai nessa linha, começando na célula B11" sqref="A11" xr:uid="{D5593762-90AE-4619-8D8D-B236E007D244}"/>
  </dataValidations>
  <printOptions horizontalCentered="1" verticalCentered="1"/>
  <pageMargins left="0.5" right="0.5" top="0.5" bottom="0.5" header="0.3" footer="0.3"/>
  <pageSetup paperSize="9" scale="58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L31"/>
  <sheetViews>
    <sheetView showGridLines="0" zoomScaleNormal="100" zoomScalePageLayoutView="84" workbookViewId="0">
      <selection activeCell="L1" sqref="L1"/>
    </sheetView>
  </sheetViews>
  <sheetFormatPr defaultColWidth="8.625" defaultRowHeight="30" customHeight="1"/>
  <cols>
    <col min="1" max="1" width="2.625" customWidth="1"/>
    <col min="2" max="2" width="20.625" customWidth="1"/>
    <col min="3" max="8" width="10.625" customWidth="1"/>
    <col min="9" max="9" width="20.625" customWidth="1"/>
    <col min="10" max="11" width="10.625" customWidth="1"/>
    <col min="12" max="12" width="70.625" customWidth="1"/>
    <col min="13" max="13" width="2.625" customWidth="1"/>
  </cols>
  <sheetData>
    <row r="1" spans="1:12" ht="30" customHeight="1">
      <c r="B1" s="11">
        <f>AnoCivil</f>
        <v>2025</v>
      </c>
      <c r="J1" s="20" t="s">
        <v>22</v>
      </c>
      <c r="K1" s="20" t="s">
        <v>23</v>
      </c>
      <c r="L1" s="10" t="s">
        <v>36</v>
      </c>
    </row>
    <row r="2" spans="1:12" ht="30" customHeight="1">
      <c r="A2" s="12"/>
      <c r="B2" s="38" t="s">
        <v>30</v>
      </c>
      <c r="C2" s="6" t="s">
        <v>10</v>
      </c>
      <c r="D2" s="6" t="s">
        <v>2</v>
      </c>
      <c r="E2" s="6" t="s">
        <v>16</v>
      </c>
      <c r="F2" s="6" t="s">
        <v>17</v>
      </c>
      <c r="G2" s="6" t="s">
        <v>18</v>
      </c>
      <c r="H2" s="6" t="s">
        <v>20</v>
      </c>
      <c r="I2" s="6" t="s">
        <v>21</v>
      </c>
      <c r="J2" s="9" t="s">
        <v>2</v>
      </c>
      <c r="K2" s="48"/>
    </row>
    <row r="3" spans="1:12" ht="30" customHeight="1">
      <c r="A3" s="12"/>
      <c r="C3" s="41">
        <f>IF(DAY(SetDom1)=1,SetDom1-6,SetDom1+1)</f>
        <v>45900</v>
      </c>
      <c r="D3" s="41">
        <f>IF(DAY(SetDom1)=1,SetDom1-5,SetDom1+2)</f>
        <v>45901</v>
      </c>
      <c r="E3" s="41">
        <f>IF(DAY(SetDom1)=1,SetDom1-4,SetDom1+3)</f>
        <v>45902</v>
      </c>
      <c r="F3" s="41">
        <f>IF(DAY(SetDom1)=1,SetDom1-3,SetDom1+4)</f>
        <v>45903</v>
      </c>
      <c r="G3" s="41">
        <f>IF(DAY(SetDom1)=1,SetDom1-2,SetDom1+5)</f>
        <v>45904</v>
      </c>
      <c r="H3" s="41">
        <f>IF(DAY(SetDom1)=1,SetDom1-1,SetDom1+6)</f>
        <v>45905</v>
      </c>
      <c r="I3" s="41">
        <f>IF(DAY(SetDom1)=1,SetDom1,SetDom1+7)</f>
        <v>45906</v>
      </c>
      <c r="J3" s="9"/>
      <c r="K3" s="48"/>
    </row>
    <row r="4" spans="1:12" ht="30" customHeight="1">
      <c r="A4" s="12"/>
      <c r="C4" s="41">
        <f>IF(DAY(SetDom1)=1,SetDom1+1,SetDom1+8)</f>
        <v>45907</v>
      </c>
      <c r="D4" s="41">
        <f>IF(DAY(SetDom1)=1,SetDom1+2,SetDom1+9)</f>
        <v>45908</v>
      </c>
      <c r="E4" s="41">
        <f>IF(DAY(SetDom1)=1,SetDom1+3,SetDom1+10)</f>
        <v>45909</v>
      </c>
      <c r="F4" s="41">
        <f>IF(DAY(SetDom1)=1,SetDom1+4,SetDom1+11)</f>
        <v>45910</v>
      </c>
      <c r="G4" s="41">
        <f>IF(DAY(SetDom1)=1,SetDom1+5,SetDom1+12)</f>
        <v>45911</v>
      </c>
      <c r="H4" s="41">
        <f>IF(DAY(SetDom1)=1,SetDom1+6,SetDom1+13)</f>
        <v>45912</v>
      </c>
      <c r="I4" s="41">
        <f>IF(DAY(SetDom1)=1,SetDom1+7,SetDom1+14)</f>
        <v>45913</v>
      </c>
      <c r="J4" s="9"/>
      <c r="K4" s="48"/>
    </row>
    <row r="5" spans="1:12" ht="30" customHeight="1">
      <c r="A5" s="12"/>
      <c r="C5" s="41">
        <f>IF(DAY(SetDom1)=1,SetDom1+8,SetDom1+15)</f>
        <v>45914</v>
      </c>
      <c r="D5" s="41">
        <f>IF(DAY(SetDom1)=1,SetDom1+9,SetDom1+16)</f>
        <v>45915</v>
      </c>
      <c r="E5" s="41">
        <f>IF(DAY(SetDom1)=1,SetDom1+10,SetDom1+17)</f>
        <v>45916</v>
      </c>
      <c r="F5" s="41">
        <f>IF(DAY(SetDom1)=1,SetDom1+11,SetDom1+18)</f>
        <v>45917</v>
      </c>
      <c r="G5" s="41">
        <f>IF(DAY(SetDom1)=1,SetDom1+12,SetDom1+19)</f>
        <v>45918</v>
      </c>
      <c r="H5" s="41">
        <f>IF(DAY(SetDom1)=1,SetDom1+13,SetDom1+20)</f>
        <v>45919</v>
      </c>
      <c r="I5" s="41">
        <f>IF(DAY(SetDom1)=1,SetDom1+14,SetDom1+21)</f>
        <v>45920</v>
      </c>
      <c r="J5" s="9"/>
      <c r="K5" s="48"/>
    </row>
    <row r="6" spans="1:12" ht="30" customHeight="1">
      <c r="A6" s="12"/>
      <c r="C6" s="41">
        <f>IF(DAY(SetDom1)=1,SetDom1+15,SetDom1+22)</f>
        <v>45921</v>
      </c>
      <c r="D6" s="41">
        <f>IF(DAY(SetDom1)=1,SetDom1+16,SetDom1+23)</f>
        <v>45922</v>
      </c>
      <c r="E6" s="41">
        <f>IF(DAY(SetDom1)=1,SetDom1+17,SetDom1+24)</f>
        <v>45923</v>
      </c>
      <c r="F6" s="41">
        <f>IF(DAY(SetDom1)=1,SetDom1+18,SetDom1+25)</f>
        <v>45924</v>
      </c>
      <c r="G6" s="41">
        <f>IF(DAY(SetDom1)=1,SetDom1+19,SetDom1+26)</f>
        <v>45925</v>
      </c>
      <c r="H6" s="41">
        <f>IF(DAY(SetDom1)=1,SetDom1+20,SetDom1+27)</f>
        <v>45926</v>
      </c>
      <c r="I6" s="41">
        <f>IF(DAY(SetDom1)=1,SetDom1+21,SetDom1+28)</f>
        <v>45927</v>
      </c>
      <c r="J6" s="9"/>
      <c r="K6" s="48"/>
    </row>
    <row r="7" spans="1:12" ht="30" customHeight="1">
      <c r="A7" s="12"/>
      <c r="C7" s="41">
        <f>IF(DAY(SetDom1)=1,SetDom1+22,SetDom1+29)</f>
        <v>45928</v>
      </c>
      <c r="D7" s="41">
        <f>IF(DAY(SetDom1)=1,SetDom1+23,SetDom1+30)</f>
        <v>45929</v>
      </c>
      <c r="E7" s="41">
        <f>IF(DAY(SetDom1)=1,SetDom1+24,SetDom1+31)</f>
        <v>45930</v>
      </c>
      <c r="F7" s="41">
        <f>IF(DAY(SetDom1)=1,SetDom1+25,SetDom1+32)</f>
        <v>45931</v>
      </c>
      <c r="G7" s="41">
        <f>IF(DAY(SetDom1)=1,SetDom1+26,SetDom1+33)</f>
        <v>45932</v>
      </c>
      <c r="H7" s="41">
        <f>IF(DAY(SetDom1)=1,SetDom1+27,SetDom1+34)</f>
        <v>45933</v>
      </c>
      <c r="I7" s="41">
        <f>IF(DAY(SetDom1)=1,SetDom1+28,SetDom1+35)</f>
        <v>45934</v>
      </c>
      <c r="J7" s="1"/>
      <c r="K7" s="49"/>
      <c r="L7" s="18"/>
    </row>
    <row r="8" spans="1:12" ht="30" customHeight="1">
      <c r="A8" s="12"/>
      <c r="B8" s="17"/>
      <c r="C8" s="41">
        <f>IF(DAY(SetDom1)=1,SetDom1+29,SetDom1+36)</f>
        <v>45935</v>
      </c>
      <c r="D8" s="41">
        <f>IF(DAY(SetDom1)=1,SetDom1+30,SetDom1+37)</f>
        <v>45936</v>
      </c>
      <c r="E8" s="41">
        <f>IF(DAY(SetDom1)=1,SetDom1+31,SetDom1+38)</f>
        <v>45937</v>
      </c>
      <c r="F8" s="41">
        <f>IF(DAY(SetDom1)=1,SetDom1+32,SetDom1+39)</f>
        <v>45938</v>
      </c>
      <c r="G8" s="41">
        <f>IF(DAY(SetDom1)=1,SetDom1+33,SetDom1+40)</f>
        <v>45939</v>
      </c>
      <c r="H8" s="41">
        <f>IF(DAY(SetDom1)=1,SetDom1+34,SetDom1+41)</f>
        <v>45940</v>
      </c>
      <c r="I8" s="41">
        <f>IF(DAY(SetDom1)=1,SetDom1+35,SetDom1+42)</f>
        <v>45941</v>
      </c>
      <c r="J8" s="9" t="s">
        <v>16</v>
      </c>
      <c r="K8" s="48"/>
    </row>
    <row r="9" spans="1:12" ht="30" customHeight="1">
      <c r="A9" s="12"/>
      <c r="C9" s="4"/>
      <c r="D9" s="4"/>
      <c r="E9" s="4"/>
      <c r="F9" s="4"/>
      <c r="G9" s="4"/>
      <c r="H9" s="4"/>
      <c r="I9" s="4"/>
      <c r="J9" s="9"/>
      <c r="K9" s="48"/>
    </row>
    <row r="10" spans="1:12" ht="30" customHeight="1">
      <c r="A10" s="12"/>
      <c r="B10" s="16" t="s">
        <v>1</v>
      </c>
      <c r="C10" s="8"/>
      <c r="D10" s="8"/>
      <c r="E10" s="8"/>
      <c r="F10" s="8"/>
      <c r="G10" s="8"/>
      <c r="H10" s="8"/>
      <c r="I10" s="8"/>
      <c r="J10" s="9"/>
      <c r="K10" s="48"/>
    </row>
    <row r="11" spans="1:12" ht="30" customHeight="1">
      <c r="A11" s="25"/>
      <c r="B11" s="13" t="s">
        <v>2</v>
      </c>
      <c r="C11" s="51" t="s">
        <v>11</v>
      </c>
      <c r="D11" s="52"/>
      <c r="E11" s="51" t="s">
        <v>17</v>
      </c>
      <c r="F11" s="52"/>
      <c r="G11" s="51" t="s">
        <v>19</v>
      </c>
      <c r="H11" s="52"/>
      <c r="I11" s="3" t="s">
        <v>20</v>
      </c>
      <c r="J11" s="9"/>
      <c r="K11" s="48"/>
    </row>
    <row r="12" spans="1:12" ht="30" customHeight="1">
      <c r="A12" s="25"/>
      <c r="B12" s="44"/>
      <c r="C12" s="53"/>
      <c r="D12" s="53"/>
      <c r="E12" s="53"/>
      <c r="F12" s="53"/>
      <c r="G12" s="53"/>
      <c r="H12" s="53"/>
      <c r="I12" s="46"/>
      <c r="J12" s="9"/>
      <c r="K12" s="48"/>
    </row>
    <row r="13" spans="1:12" ht="30" customHeight="1">
      <c r="A13" s="25"/>
      <c r="B13" s="26"/>
      <c r="C13" s="54"/>
      <c r="D13" s="54"/>
      <c r="E13" s="54"/>
      <c r="F13" s="54"/>
      <c r="G13" s="54"/>
      <c r="H13" s="54"/>
      <c r="I13" s="31"/>
      <c r="J13" s="1"/>
      <c r="K13" s="49"/>
      <c r="L13" s="18"/>
    </row>
    <row r="14" spans="1:12" ht="30" customHeight="1">
      <c r="A14" s="25"/>
      <c r="B14" s="44"/>
      <c r="C14" s="53"/>
      <c r="D14" s="53"/>
      <c r="E14" s="53"/>
      <c r="F14" s="53"/>
      <c r="G14" s="53"/>
      <c r="H14" s="53"/>
      <c r="I14" s="46"/>
      <c r="J14" s="9" t="s">
        <v>17</v>
      </c>
      <c r="K14" s="48"/>
    </row>
    <row r="15" spans="1:12" ht="30" customHeight="1">
      <c r="A15" s="25"/>
      <c r="B15" s="26"/>
      <c r="C15" s="54"/>
      <c r="D15" s="54"/>
      <c r="E15" s="54"/>
      <c r="F15" s="54"/>
      <c r="G15" s="54"/>
      <c r="H15" s="54"/>
      <c r="I15" s="31"/>
      <c r="J15" s="9"/>
      <c r="K15" s="48"/>
    </row>
    <row r="16" spans="1:12" ht="30" customHeight="1">
      <c r="A16" s="25"/>
      <c r="B16" s="44"/>
      <c r="C16" s="53"/>
      <c r="D16" s="53"/>
      <c r="E16" s="53"/>
      <c r="F16" s="53"/>
      <c r="G16" s="53"/>
      <c r="H16" s="53"/>
      <c r="I16" s="47"/>
      <c r="J16" s="9"/>
      <c r="K16" s="48"/>
    </row>
    <row r="17" spans="1:12" ht="30" customHeight="1">
      <c r="A17" s="25"/>
      <c r="B17" s="26"/>
      <c r="C17" s="54"/>
      <c r="D17" s="54"/>
      <c r="E17" s="54"/>
      <c r="F17" s="54"/>
      <c r="G17" s="54"/>
      <c r="H17" s="54"/>
      <c r="I17" s="31"/>
      <c r="J17" s="9"/>
      <c r="K17" s="48"/>
    </row>
    <row r="18" spans="1:12" ht="30" customHeight="1">
      <c r="A18" s="25"/>
      <c r="B18" s="44"/>
      <c r="C18" s="53"/>
      <c r="D18" s="53"/>
      <c r="E18" s="53"/>
      <c r="F18" s="53"/>
      <c r="G18" s="53"/>
      <c r="H18" s="53"/>
      <c r="I18" s="46"/>
      <c r="J18" s="9"/>
      <c r="K18" s="48"/>
    </row>
    <row r="19" spans="1:12" ht="30" customHeight="1">
      <c r="A19" s="25"/>
      <c r="B19" s="26"/>
      <c r="C19" s="54"/>
      <c r="D19" s="54"/>
      <c r="E19" s="54"/>
      <c r="F19" s="54"/>
      <c r="G19" s="54"/>
      <c r="H19" s="54"/>
      <c r="I19" s="32"/>
      <c r="J19" s="1"/>
      <c r="K19" s="49"/>
      <c r="L19" s="24"/>
    </row>
    <row r="20" spans="1:12" ht="30" customHeight="1">
      <c r="A20" s="25"/>
      <c r="B20" s="44"/>
      <c r="C20" s="53"/>
      <c r="D20" s="53"/>
      <c r="E20" s="53"/>
      <c r="F20" s="53"/>
      <c r="G20" s="53"/>
      <c r="H20" s="53"/>
      <c r="I20" s="46"/>
      <c r="J20" s="9" t="s">
        <v>18</v>
      </c>
      <c r="K20" s="48"/>
    </row>
    <row r="21" spans="1:12" ht="30" customHeight="1">
      <c r="A21" s="25"/>
      <c r="B21" s="26"/>
      <c r="C21" s="54"/>
      <c r="D21" s="54"/>
      <c r="E21" s="54"/>
      <c r="F21" s="54"/>
      <c r="G21" s="54"/>
      <c r="H21" s="54"/>
      <c r="I21" s="31"/>
      <c r="J21" s="9"/>
      <c r="K21" s="48"/>
    </row>
    <row r="22" spans="1:12" ht="30" customHeight="1">
      <c r="A22" s="25"/>
      <c r="B22" s="44"/>
      <c r="C22" s="53"/>
      <c r="D22" s="53"/>
      <c r="E22" s="53"/>
      <c r="F22" s="53"/>
      <c r="G22" s="53"/>
      <c r="H22" s="53"/>
      <c r="I22" s="46"/>
      <c r="J22" s="9"/>
      <c r="K22" s="48"/>
    </row>
    <row r="23" spans="1:12" ht="30" customHeight="1">
      <c r="A23" s="25"/>
      <c r="B23" s="26"/>
      <c r="C23" s="54"/>
      <c r="D23" s="54"/>
      <c r="E23" s="54"/>
      <c r="F23" s="54"/>
      <c r="G23" s="54"/>
      <c r="H23" s="54"/>
      <c r="I23" s="31"/>
      <c r="J23" s="9"/>
      <c r="K23" s="48"/>
    </row>
    <row r="24" spans="1:12" ht="30" customHeight="1">
      <c r="A24" s="25"/>
      <c r="B24" s="44"/>
      <c r="C24" s="53"/>
      <c r="D24" s="53"/>
      <c r="E24" s="53"/>
      <c r="F24" s="53"/>
      <c r="G24" s="53"/>
      <c r="H24" s="53"/>
      <c r="I24" s="46"/>
      <c r="J24" s="9"/>
      <c r="K24" s="48"/>
    </row>
    <row r="25" spans="1:12" ht="30" customHeight="1">
      <c r="A25" s="25"/>
      <c r="B25" s="26"/>
      <c r="C25" s="54"/>
      <c r="D25" s="54"/>
      <c r="E25" s="54"/>
      <c r="F25" s="54"/>
      <c r="G25" s="54"/>
      <c r="H25" s="54"/>
      <c r="I25" s="31"/>
      <c r="J25" s="1"/>
      <c r="K25" s="49"/>
      <c r="L25" s="24"/>
    </row>
    <row r="26" spans="1:12" ht="30" customHeight="1">
      <c r="A26" s="25"/>
      <c r="B26" s="44"/>
      <c r="C26" s="53"/>
      <c r="D26" s="53"/>
      <c r="E26" s="53"/>
      <c r="F26" s="53"/>
      <c r="G26" s="53"/>
      <c r="H26" s="53"/>
      <c r="I26" s="46"/>
      <c r="J26" s="9" t="s">
        <v>20</v>
      </c>
      <c r="K26" s="48"/>
    </row>
    <row r="27" spans="1:12" ht="30" customHeight="1">
      <c r="A27" s="25"/>
      <c r="B27" s="26"/>
      <c r="C27" s="54"/>
      <c r="D27" s="54"/>
      <c r="E27" s="54"/>
      <c r="F27" s="54"/>
      <c r="G27" s="54"/>
      <c r="H27" s="54"/>
      <c r="I27" s="31"/>
      <c r="J27" s="9"/>
      <c r="K27" s="48"/>
    </row>
    <row r="28" spans="1:12" ht="30" customHeight="1">
      <c r="A28" s="25"/>
      <c r="B28" s="44"/>
      <c r="C28" s="53"/>
      <c r="D28" s="53"/>
      <c r="E28" s="53"/>
      <c r="F28" s="53"/>
      <c r="G28" s="53"/>
      <c r="H28" s="53"/>
      <c r="I28" s="46"/>
      <c r="J28" s="9"/>
      <c r="K28" s="48"/>
    </row>
    <row r="29" spans="1:12" ht="30" customHeight="1">
      <c r="A29" s="25"/>
      <c r="B29" s="26"/>
      <c r="C29" s="54"/>
      <c r="D29" s="54"/>
      <c r="E29" s="54"/>
      <c r="F29" s="54"/>
      <c r="G29" s="54"/>
      <c r="H29" s="54"/>
      <c r="I29" s="31"/>
      <c r="J29" s="9"/>
      <c r="K29" s="48"/>
    </row>
    <row r="30" spans="1:12" ht="30" customHeight="1">
      <c r="A30" s="25"/>
      <c r="B30" s="44"/>
      <c r="C30" s="53"/>
      <c r="D30" s="53"/>
      <c r="E30" s="53"/>
      <c r="F30" s="53"/>
      <c r="G30" s="53"/>
      <c r="H30" s="53"/>
      <c r="I30" s="46"/>
      <c r="J30" s="9"/>
      <c r="K30" s="48"/>
    </row>
    <row r="31" spans="1:12" ht="30" customHeight="1">
      <c r="A31" s="25"/>
      <c r="B31" s="34"/>
      <c r="C31" s="59"/>
      <c r="D31" s="59"/>
      <c r="E31" s="59"/>
      <c r="F31" s="59"/>
      <c r="G31" s="59"/>
      <c r="H31" s="59"/>
      <c r="I31" s="35"/>
      <c r="J31" s="9"/>
      <c r="K31" s="48"/>
    </row>
  </sheetData>
  <mergeCells count="63"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</mergeCells>
  <conditionalFormatting sqref="B12:I12 B14:I14 B16:I16 B18:I18 B20:I20 B22:I22 B24:I24 B26:I26 B28:I28 B30:I30">
    <cfRule type="expression" dxfId="35" priority="3">
      <formula>B12&lt;&gt;""</formula>
    </cfRule>
  </conditionalFormatting>
  <conditionalFormatting sqref="B12:I31">
    <cfRule type="expression" dxfId="34" priority="1">
      <formula>COLUMN(B12)&gt;2</formula>
    </cfRule>
  </conditionalFormatting>
  <conditionalFormatting sqref="B13:I13 B15:I15 B17:I17 B19:I19 B21:I21 B23:I23 B25:I25 B27:I27 B29:I29 B31:I31">
    <cfRule type="expression" dxfId="33" priority="4">
      <formula>B13&lt;&gt;""</formula>
    </cfRule>
  </conditionalFormatting>
  <conditionalFormatting sqref="B13:I13 B15:I15 B17:I17 B19:I19 B21:I21 B23:I23 B25:I25 B27:I27 B29:I29">
    <cfRule type="expression" dxfId="32" priority="2">
      <formula>COLUMN(B13)&gt;=2</formula>
    </cfRule>
  </conditionalFormatting>
  <conditionalFormatting sqref="C3:H3">
    <cfRule type="expression" dxfId="31" priority="6" stopIfTrue="1">
      <formula>DAY(C3)&gt;8</formula>
    </cfRule>
  </conditionalFormatting>
  <conditionalFormatting sqref="C3:I8">
    <cfRule type="expression" dxfId="30" priority="7">
      <formula>VLOOKUP(DAY(C3),DiasTarefa,1,FALSE)=DAY(C3)</formula>
    </cfRule>
  </conditionalFormatting>
  <conditionalFormatting sqref="C7:I8">
    <cfRule type="expression" dxfId="29" priority="5" stopIfTrue="1">
      <formula>AND(DAY(C7)&gt;=1,DAY(C7)&lt;=15)</formula>
    </cfRule>
  </conditionalFormatting>
  <dataValidations count="16">
    <dataValidation allowBlank="1" showInputMessage="1" showErrorMessage="1" prompt="Insira a aula nesta linha das colunas B a I" sqref="B13" xr:uid="{00000000-0002-0000-0800-000000000000}"/>
    <dataValidation allowBlank="1" showInputMessage="1" showErrorMessage="1" prompt="Insira o horário nesta linha das colunas B a I" sqref="B12" xr:uid="{00000000-0002-0000-0800-000001000000}"/>
    <dataValidation allowBlank="1" showInputMessage="1" showErrorMessage="1" prompt="Se esta linha contiver um número menor que o número ou a linha de números anterior, ela conterá datas para o próximo mês do calendário" sqref="C8" xr:uid="{00000000-0002-0000-0800-000002000000}"/>
    <dataValidation allowBlank="1" showInputMessage="1" showErrorMessage="1" prompt="Se esta célula não contiver o número 1, será um dia de um mês anterior. Células C3:I8 contêm datas para o mês atual" sqref="C3" xr:uid="{00000000-0002-0000-0800-000003000000}"/>
    <dataValidation allowBlank="1" showInputMessage="1" showErrorMessage="1" prompt="Células C2:I2 contêm dias da semana" sqref="C2:D2" xr:uid="{32FC1F7C-B929-4895-A073-1133FBB3493B}"/>
    <dataValidation allowBlank="1" showInputMessage="1" showErrorMessage="1" prompt="Prepare um cronograma semanal e crie uma lista de tarefas nesta planilha. As tarefas são destacadas automaticamente no calendário mensal para o ano inserido em B1 na planilha de janeiro" sqref="A1" xr:uid="{00000000-0002-0000-0800-000005000000}"/>
    <dataValidation allowBlank="1" showInputMessage="1" showErrorMessage="1" prompt="Ano civil atualizado automaticamente. Para alterar o ano, atualize a célula B1 na planilha de janeiro" sqref="B1" xr:uid="{00000000-0002-0000-0800-000006000000}"/>
    <dataValidation allowBlank="1" showInputMessage="1" showErrorMessage="1" prompt="O calendário de setembro destaca automaticamente as entradas da lista de tarefas para o mês. As fontes mais escuras são tarefas. As fontes mais claras são os dias que pertencem ao mês anterior ou seguinte" sqref="B2" xr:uid="{00000000-0002-0000-0800-000007000000}"/>
    <dataValidation allowBlank="1" showInputMessage="1" showErrorMessage="1" prompt="Os dias da semana são agrupados nesta coluna, com 6 linhas para as tarefas de cada dia da semana do mês agrupado. Insira novas linhas para adicionar mais tarefas. O calendário à esquerda destacará os itens" sqref="J1" xr:uid="{00000000-0002-0000-0800-000008000000}"/>
    <dataValidation allowBlank="1" showInputMessage="1" showErrorMessage="1" prompt="Insira os detalhes da tarefa nesta coluna, que corresponde ao dia da semana na coluna J e ao dia na coluna K para o mês do calendário à esquerda" sqref="L1" xr:uid="{A50ED6F4-AD39-42BE-956A-3FE3B8557F89}"/>
    <dataValidation allowBlank="1" showInputMessage="1" showErrorMessage="1" prompt="Insira o dia do mês da tarefa nesta coluna, que corresponde ao dia da semana na coluna J. Essa data destacará a tarefa no calendário à esquerda" sqref="K1" xr:uid="{00000000-0002-0000-0800-00000A000000}"/>
    <dataValidation allowBlank="1" showInputMessage="1" showErrorMessage="1" prompt="Os dias da semana estão nesta linha, de segunda a sexta" sqref="B11" xr:uid="{00000000-0002-0000-0800-00000B000000}"/>
    <dataValidation allowBlank="1" showInputMessage="1" showErrorMessage="1" prompt="Insira o horário da aula e, abaixo, em uma nova linha, o nome da aula para cada dia da semana nas colunas de B a I. Repita esse padrão para todas as aulas nas linhas subsequentes" sqref="B10" xr:uid="{00000000-0002-0000-0800-00000C000000}"/>
    <dataValidation allowBlank="1" showInputMessage="1" showErrorMessage="1" prompt="O nome da aula vai nessa linha, começando na célula à direita" sqref="A13 A15 A17 A19 A21 A23 A25 A27 A29 A31" xr:uid="{E8F95D67-244A-44F5-A7C7-5CEFF0187024}"/>
    <dataValidation allowBlank="1" showInputMessage="1" showErrorMessage="1" prompt="O horário da aula vai nessa linha,começando na célula à direita_x000a_" sqref="A12 A14 A16 A18 A20 A22 A24 A26 A28 A30" xr:uid="{65E086FF-5098-4375-BC3F-C5146B03E93E}"/>
    <dataValidation allowBlank="1" showInputMessage="1" showErrorMessage="1" prompt="O dia da semana vai nessa linha, começando na célula B11" sqref="A11" xr:uid="{7DA4EAB2-0BEA-4CB1-8007-CAB0F10D0BF0}"/>
  </dataValidations>
  <printOptions horizontalCentered="1" verticalCentered="1"/>
  <pageMargins left="0.5" right="0.5" top="0.5" bottom="0.5" header="0.3" footer="0.3"/>
  <pageSetup paperSize="9" scale="5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FDC7C6F0-C0A2-4244-8687-9C5402775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F402BA-6B95-420F-84CD-6A15D428F0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967BB1-6EDE-4949-A4B0-E964179212C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TM03107663</Templat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61</vt:i4>
      </vt:variant>
    </vt:vector>
  </HeadingPairs>
  <TitlesOfParts>
    <vt:vector size="73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AnoCivil</vt:lpstr>
      <vt:lpstr>Abr!DiasTarefa</vt:lpstr>
      <vt:lpstr>Ago!DiasTarefa</vt:lpstr>
      <vt:lpstr>Dez!DiasTarefa</vt:lpstr>
      <vt:lpstr>Fev!DiasTarefa</vt:lpstr>
      <vt:lpstr>Jul!DiasTarefa</vt:lpstr>
      <vt:lpstr>Jun!DiasTarefa</vt:lpstr>
      <vt:lpstr>Mai!DiasTarefa</vt:lpstr>
      <vt:lpstr>Mar!DiasTarefa</vt:lpstr>
      <vt:lpstr>Nov!DiasTarefa</vt:lpstr>
      <vt:lpstr>Out!DiasTarefa</vt:lpstr>
      <vt:lpstr>Set!DiasTarefa</vt:lpstr>
      <vt:lpstr>DiasTarefa</vt:lpstr>
      <vt:lpstr>RegiãoTítulo2..I31.1</vt:lpstr>
      <vt:lpstr>RegiãoTítulo2..I31.10</vt:lpstr>
      <vt:lpstr>RegiãoTítulo2..I31.11</vt:lpstr>
      <vt:lpstr>RegiãoTítulo2..I31.12</vt:lpstr>
      <vt:lpstr>RegiãoTítulo2..I31.2</vt:lpstr>
      <vt:lpstr>RegiãoTítulo2..I31.3</vt:lpstr>
      <vt:lpstr>RegiãoTítulo2..I31.4</vt:lpstr>
      <vt:lpstr>RegiãoTítulo2..I31.5</vt:lpstr>
      <vt:lpstr>RegiãoTítulo2..I31.6</vt:lpstr>
      <vt:lpstr>RegiãoTítulo2..I31.7</vt:lpstr>
      <vt:lpstr>RegiãoTítulo2..I31.8</vt:lpstr>
      <vt:lpstr>RegiãoTítulo2..I31.9</vt:lpstr>
      <vt:lpstr>RegiãoTìtuloColuna1..I8.1</vt:lpstr>
      <vt:lpstr>RegiãoTìtuloColuna1..I8.10</vt:lpstr>
      <vt:lpstr>RegiãoTìtuloColuna1..I8.11</vt:lpstr>
      <vt:lpstr>RegiãoTìtuloColuna1..I8.12</vt:lpstr>
      <vt:lpstr>RegiãoTìtuloColuna1..I8.2</vt:lpstr>
      <vt:lpstr>RegiãoTìtuloColuna1..I8.3</vt:lpstr>
      <vt:lpstr>RegiãoTìtuloColuna1..I8.4</vt:lpstr>
      <vt:lpstr>RegiãoTìtuloColuna1..I8.5</vt:lpstr>
      <vt:lpstr>RegiãoTìtuloColuna1..I8.6</vt:lpstr>
      <vt:lpstr>RegiãoTìtuloColuna1..I8.7</vt:lpstr>
      <vt:lpstr>RegiãoTìtuloColuna1..I8.8</vt:lpstr>
      <vt:lpstr>RegiãoTìtuloColuna1..I8.9</vt:lpstr>
      <vt:lpstr>Abr!TabelaDatasImportantes</vt:lpstr>
      <vt:lpstr>Ago!TabelaDatasImportantes</vt:lpstr>
      <vt:lpstr>Dez!TabelaDatasImportantes</vt:lpstr>
      <vt:lpstr>Fev!TabelaDatasImportantes</vt:lpstr>
      <vt:lpstr>Jul!TabelaDatasImportantes</vt:lpstr>
      <vt:lpstr>Jun!TabelaDatasImportantes</vt:lpstr>
      <vt:lpstr>Mai!TabelaDatasImportantes</vt:lpstr>
      <vt:lpstr>Mar!TabelaDatasImportantes</vt:lpstr>
      <vt:lpstr>Nov!TabelaDatasImportantes</vt:lpstr>
      <vt:lpstr>Out!TabelaDatasImportantes</vt:lpstr>
      <vt:lpstr>Set!TabelaDatasImportantes</vt:lpstr>
      <vt:lpstr>TabelaDatasImportantes</vt:lpstr>
      <vt:lpstr>TítuloColuna1</vt:lpstr>
      <vt:lpstr>TítuloColuna10</vt:lpstr>
      <vt:lpstr>TítuloColuna11</vt:lpstr>
      <vt:lpstr>TítuloColuna12</vt:lpstr>
      <vt:lpstr>TítuloColuna2</vt:lpstr>
      <vt:lpstr>TítuloColuna9</vt:lpstr>
      <vt:lpstr>Títulodacoluna3</vt:lpstr>
      <vt:lpstr>Títulodacoluna4</vt:lpstr>
      <vt:lpstr>Títulodacoluna5</vt:lpstr>
      <vt:lpstr>Títulodacoluna6</vt:lpstr>
      <vt:lpstr>Títulodacoluna7</vt:lpstr>
      <vt:lpstr>Títulodacoluna8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2022-12-27T00:20:41Z</dcterms:created>
  <dcterms:modified xsi:type="dcterms:W3CDTF">2025-03-24T18:21:55Z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